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G:\MANUEL\"/>
    </mc:Choice>
  </mc:AlternateContent>
  <xr:revisionPtr revIDLastSave="0" documentId="13_ncr:1_{6F9130A7-78EC-4C62-92A7-F0BB6DE4AFB9}" xr6:coauthVersionLast="47" xr6:coauthVersionMax="47" xr10:uidLastSave="{00000000-0000-0000-0000-000000000000}"/>
  <bookViews>
    <workbookView xWindow="-120" yWindow="-120" windowWidth="24240" windowHeight="13020" firstSheet="5" activeTab="5" xr2:uid="{00000000-000D-0000-FFFF-FFFF00000000}"/>
  </bookViews>
  <sheets>
    <sheet name="ENERO 2024" sheetId="1" r:id="rId1"/>
    <sheet name="FEBRERO 2024 (2)" sheetId="2" r:id="rId2"/>
    <sheet name="MARZO 2024" sheetId="4" r:id="rId3"/>
    <sheet name="ABRIL 2024" sheetId="8" r:id="rId4"/>
    <sheet name="MAYO 2024" sheetId="9" r:id="rId5"/>
    <sheet name="AGOSTO 2024" sheetId="12" r:id="rId6"/>
  </sheets>
  <externalReferences>
    <externalReference r:id="rId7"/>
  </externalReferences>
  <definedNames>
    <definedName name="_xlnm.Print_Area" localSheetId="3">'ABRIL 2024'!$A$1:$R$201</definedName>
    <definedName name="_xlnm.Print_Area" localSheetId="5">'AGOSTO 2024'!$A$1:$R$254</definedName>
    <definedName name="_xlnm.Print_Area" localSheetId="0">'ENERO 2024'!$A$1:$AM$121</definedName>
    <definedName name="_xlnm.Print_Area" localSheetId="1">'FEBRERO 2024 (2)'!$A$1:$O$323</definedName>
    <definedName name="_xlnm.Print_Area" localSheetId="2">'MARZO 2024'!$A$1:$R$392</definedName>
    <definedName name="_xlnm.Print_Area" localSheetId="4">'MAYO 2024'!$A$1:$R$152</definedName>
    <definedName name="esposa1">'[1]EN PROCESO'!$G$54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9" i="12" l="1"/>
  <c r="F239" i="12"/>
  <c r="H238" i="12"/>
  <c r="F238" i="12"/>
  <c r="N237" i="12"/>
  <c r="H237" i="12"/>
  <c r="F237" i="12"/>
  <c r="H236" i="12"/>
  <c r="F236" i="12"/>
  <c r="N235" i="12"/>
  <c r="H235" i="12"/>
  <c r="F235" i="12"/>
  <c r="H234" i="12"/>
  <c r="F234" i="12"/>
  <c r="H233" i="12"/>
  <c r="F233" i="12"/>
  <c r="H232" i="12"/>
  <c r="F232" i="12"/>
  <c r="N228" i="12"/>
  <c r="H228" i="12"/>
  <c r="F228" i="12"/>
  <c r="M227" i="12"/>
  <c r="N227" i="12" s="1"/>
  <c r="H227" i="12"/>
  <c r="F227" i="12"/>
  <c r="M226" i="12"/>
  <c r="N226" i="12" s="1"/>
  <c r="H226" i="12"/>
  <c r="F226" i="12"/>
  <c r="H225" i="12"/>
  <c r="F225" i="12"/>
  <c r="N224" i="12"/>
  <c r="H224" i="12"/>
  <c r="F224" i="12"/>
  <c r="M223" i="12"/>
  <c r="N223" i="12" s="1"/>
  <c r="H223" i="12"/>
  <c r="F223" i="12"/>
  <c r="N222" i="12"/>
  <c r="H222" i="12"/>
  <c r="F222" i="12"/>
  <c r="M221" i="12"/>
  <c r="N221" i="12" s="1"/>
  <c r="H221" i="12"/>
  <c r="F221" i="12"/>
  <c r="M220" i="12"/>
  <c r="H220" i="12"/>
  <c r="F220" i="12"/>
  <c r="M219" i="12"/>
  <c r="N219" i="12" s="1"/>
  <c r="H219" i="12"/>
  <c r="F219" i="12"/>
  <c r="M218" i="12"/>
  <c r="N218" i="12" s="1"/>
  <c r="H218" i="12"/>
  <c r="F218" i="12"/>
  <c r="M217" i="12"/>
  <c r="H217" i="12"/>
  <c r="F217" i="12"/>
  <c r="H216" i="12"/>
  <c r="F216" i="12"/>
  <c r="M215" i="12"/>
  <c r="N215" i="12" s="1"/>
  <c r="I215" i="12"/>
  <c r="H215" i="12"/>
  <c r="F215" i="12"/>
  <c r="M214" i="12"/>
  <c r="N214" i="12" s="1"/>
  <c r="I214" i="12"/>
  <c r="H214" i="12"/>
  <c r="F214" i="12"/>
  <c r="M213" i="12"/>
  <c r="N213" i="12" s="1"/>
  <c r="I213" i="12"/>
  <c r="H213" i="12"/>
  <c r="F213" i="12"/>
  <c r="M212" i="12"/>
  <c r="N212" i="12" s="1"/>
  <c r="I212" i="12"/>
  <c r="H212" i="12"/>
  <c r="F212" i="12"/>
  <c r="M211" i="12"/>
  <c r="N211" i="12" s="1"/>
  <c r="I211" i="12"/>
  <c r="H211" i="12"/>
  <c r="F211" i="12"/>
  <c r="M210" i="12"/>
  <c r="N210" i="12" s="1"/>
  <c r="I210" i="12"/>
  <c r="H210" i="12"/>
  <c r="F210" i="12"/>
  <c r="M209" i="12"/>
  <c r="N209" i="12" s="1"/>
  <c r="I209" i="12"/>
  <c r="H209" i="12"/>
  <c r="F209" i="12"/>
  <c r="M208" i="12"/>
  <c r="N208" i="12" s="1"/>
  <c r="I208" i="12"/>
  <c r="H208" i="12"/>
  <c r="F208" i="12"/>
  <c r="M207" i="12"/>
  <c r="N207" i="12" s="1"/>
  <c r="I207" i="12"/>
  <c r="H207" i="12"/>
  <c r="F207" i="12"/>
  <c r="M206" i="12"/>
  <c r="N206" i="12" s="1"/>
  <c r="I206" i="12"/>
  <c r="H206" i="12"/>
  <c r="F206" i="12"/>
  <c r="M205" i="12"/>
  <c r="N205" i="12" s="1"/>
  <c r="I205" i="12"/>
  <c r="H205" i="12"/>
  <c r="F205" i="12"/>
  <c r="M204" i="12"/>
  <c r="N204" i="12" s="1"/>
  <c r="I204" i="12"/>
  <c r="H204" i="12"/>
  <c r="F204" i="12"/>
  <c r="M203" i="12"/>
  <c r="N203" i="12" s="1"/>
  <c r="I203" i="12"/>
  <c r="H203" i="12"/>
  <c r="F203" i="12"/>
  <c r="M202" i="12"/>
  <c r="N202" i="12" s="1"/>
  <c r="I202" i="12"/>
  <c r="H202" i="12"/>
  <c r="F202" i="12"/>
  <c r="M201" i="12"/>
  <c r="N201" i="12" s="1"/>
  <c r="I201" i="12"/>
  <c r="H201" i="12"/>
  <c r="F201" i="12"/>
  <c r="M200" i="12"/>
  <c r="N200" i="12" s="1"/>
  <c r="I200" i="12"/>
  <c r="H200" i="12"/>
  <c r="F200" i="12"/>
  <c r="M199" i="12"/>
  <c r="N199" i="12" s="1"/>
  <c r="I199" i="12"/>
  <c r="H199" i="12"/>
  <c r="F199" i="12"/>
  <c r="M198" i="12"/>
  <c r="N198" i="12" s="1"/>
  <c r="I198" i="12"/>
  <c r="H198" i="12"/>
  <c r="F198" i="12"/>
  <c r="M197" i="12"/>
  <c r="N197" i="12" s="1"/>
  <c r="I197" i="12"/>
  <c r="H197" i="12"/>
  <c r="F197" i="12"/>
  <c r="N196" i="12"/>
  <c r="I196" i="12"/>
  <c r="H196" i="12"/>
  <c r="F196" i="12"/>
  <c r="M195" i="12"/>
  <c r="N195" i="12" s="1"/>
  <c r="I195" i="12"/>
  <c r="H195" i="12"/>
  <c r="F195" i="12"/>
  <c r="M194" i="12"/>
  <c r="N194" i="12" s="1"/>
  <c r="I194" i="12"/>
  <c r="H194" i="12"/>
  <c r="F194" i="12"/>
  <c r="M193" i="12"/>
  <c r="N193" i="12" s="1"/>
  <c r="I193" i="12"/>
  <c r="H193" i="12"/>
  <c r="F193" i="12"/>
  <c r="M192" i="12"/>
  <c r="N192" i="12" s="1"/>
  <c r="I192" i="12"/>
  <c r="H192" i="12"/>
  <c r="F192" i="12"/>
  <c r="M191" i="12"/>
  <c r="N191" i="12" s="1"/>
  <c r="I191" i="12"/>
  <c r="H191" i="12"/>
  <c r="F191" i="12"/>
  <c r="M190" i="12"/>
  <c r="N190" i="12" s="1"/>
  <c r="I190" i="12"/>
  <c r="H190" i="12"/>
  <c r="F190" i="12"/>
  <c r="M189" i="12"/>
  <c r="N189" i="12" s="1"/>
  <c r="I189" i="12"/>
  <c r="H189" i="12"/>
  <c r="F189" i="12"/>
  <c r="M188" i="12"/>
  <c r="N188" i="12" s="1"/>
  <c r="I188" i="12"/>
  <c r="H188" i="12"/>
  <c r="F188" i="12"/>
  <c r="M187" i="12"/>
  <c r="N187" i="12" s="1"/>
  <c r="I187" i="12"/>
  <c r="H187" i="12"/>
  <c r="F187" i="12"/>
  <c r="M186" i="12"/>
  <c r="N186" i="12" s="1"/>
  <c r="I186" i="12"/>
  <c r="H186" i="12"/>
  <c r="F186" i="12"/>
  <c r="M185" i="12"/>
  <c r="N185" i="12" s="1"/>
  <c r="I185" i="12"/>
  <c r="H185" i="12"/>
  <c r="F185" i="12"/>
  <c r="M184" i="12"/>
  <c r="N184" i="12" s="1"/>
  <c r="I184" i="12"/>
  <c r="H184" i="12"/>
  <c r="F184" i="12"/>
  <c r="M183" i="12"/>
  <c r="N183" i="12" s="1"/>
  <c r="I183" i="12"/>
  <c r="H183" i="12"/>
  <c r="F183" i="12"/>
  <c r="M182" i="12"/>
  <c r="N182" i="12" s="1"/>
  <c r="I182" i="12"/>
  <c r="H182" i="12"/>
  <c r="F182" i="12"/>
  <c r="M181" i="12"/>
  <c r="N181" i="12" s="1"/>
  <c r="I181" i="12"/>
  <c r="H181" i="12"/>
  <c r="F181" i="12"/>
  <c r="N180" i="12"/>
  <c r="I180" i="12"/>
  <c r="H180" i="12"/>
  <c r="F180" i="12"/>
  <c r="M179" i="12"/>
  <c r="N179" i="12" s="1"/>
  <c r="I179" i="12"/>
  <c r="H179" i="12"/>
  <c r="F179" i="12"/>
  <c r="M178" i="12"/>
  <c r="N178" i="12" s="1"/>
  <c r="I178" i="12"/>
  <c r="H178" i="12"/>
  <c r="F178" i="12"/>
  <c r="M177" i="12"/>
  <c r="N177" i="12" s="1"/>
  <c r="I177" i="12"/>
  <c r="H177" i="12"/>
  <c r="F177" i="12"/>
  <c r="M176" i="12"/>
  <c r="N176" i="12" s="1"/>
  <c r="I176" i="12"/>
  <c r="H176" i="12"/>
  <c r="F176" i="12"/>
  <c r="M175" i="12"/>
  <c r="N175" i="12" s="1"/>
  <c r="I175" i="12"/>
  <c r="H175" i="12"/>
  <c r="F175" i="12"/>
  <c r="M174" i="12"/>
  <c r="N174" i="12" s="1"/>
  <c r="I174" i="12"/>
  <c r="H174" i="12"/>
  <c r="F174" i="12"/>
  <c r="N173" i="12"/>
  <c r="I173" i="12"/>
  <c r="H173" i="12"/>
  <c r="F173" i="12"/>
  <c r="N172" i="12"/>
  <c r="I172" i="12"/>
  <c r="H172" i="12"/>
  <c r="F172" i="12"/>
  <c r="N171" i="12"/>
  <c r="I171" i="12"/>
  <c r="H171" i="12"/>
  <c r="F171" i="12"/>
  <c r="N170" i="12"/>
  <c r="I170" i="12"/>
  <c r="H170" i="12"/>
  <c r="F170" i="12"/>
  <c r="M169" i="12"/>
  <c r="N169" i="12" s="1"/>
  <c r="I169" i="12"/>
  <c r="H169" i="12"/>
  <c r="F169" i="12"/>
  <c r="N168" i="12"/>
  <c r="I168" i="12"/>
  <c r="H168" i="12"/>
  <c r="F168" i="12"/>
  <c r="N167" i="12"/>
  <c r="I167" i="12"/>
  <c r="H167" i="12"/>
  <c r="F167" i="12"/>
  <c r="M163" i="12"/>
  <c r="N163" i="12" s="1"/>
  <c r="H163" i="12"/>
  <c r="F163" i="12"/>
  <c r="M162" i="12"/>
  <c r="N162" i="12" s="1"/>
  <c r="I162" i="12"/>
  <c r="H162" i="12"/>
  <c r="F162" i="12"/>
  <c r="N161" i="12"/>
  <c r="I161" i="12"/>
  <c r="H161" i="12"/>
  <c r="F161" i="12"/>
  <c r="M160" i="12"/>
  <c r="N160" i="12" s="1"/>
  <c r="I160" i="12"/>
  <c r="H160" i="12"/>
  <c r="F160" i="12"/>
  <c r="M159" i="12"/>
  <c r="N159" i="12" s="1"/>
  <c r="I159" i="12"/>
  <c r="H159" i="12"/>
  <c r="F159" i="12"/>
  <c r="M158" i="12"/>
  <c r="N158" i="12" s="1"/>
  <c r="I158" i="12"/>
  <c r="H158" i="12"/>
  <c r="F158" i="12"/>
  <c r="M157" i="12"/>
  <c r="N157" i="12" s="1"/>
  <c r="I157" i="12"/>
  <c r="H157" i="12"/>
  <c r="F157" i="12"/>
  <c r="M156" i="12"/>
  <c r="N156" i="12" s="1"/>
  <c r="I156" i="12"/>
  <c r="H156" i="12"/>
  <c r="F156" i="12"/>
  <c r="M155" i="12"/>
  <c r="N155" i="12" s="1"/>
  <c r="I155" i="12"/>
  <c r="H155" i="12"/>
  <c r="F155" i="12"/>
  <c r="M154" i="12"/>
  <c r="N154" i="12" s="1"/>
  <c r="I154" i="12"/>
  <c r="H154" i="12"/>
  <c r="F154" i="12"/>
  <c r="M153" i="12"/>
  <c r="N153" i="12" s="1"/>
  <c r="I153" i="12"/>
  <c r="H153" i="12"/>
  <c r="F153" i="12"/>
  <c r="N152" i="12"/>
  <c r="I152" i="12"/>
  <c r="H152" i="12"/>
  <c r="F152" i="12"/>
  <c r="M151" i="12"/>
  <c r="N151" i="12" s="1"/>
  <c r="I151" i="12"/>
  <c r="H151" i="12"/>
  <c r="F151" i="12"/>
  <c r="M150" i="12"/>
  <c r="N150" i="12" s="1"/>
  <c r="I150" i="12"/>
  <c r="H150" i="12"/>
  <c r="F150" i="12"/>
  <c r="M149" i="12"/>
  <c r="N149" i="12" s="1"/>
  <c r="I149" i="12"/>
  <c r="H149" i="12"/>
  <c r="F149" i="12"/>
  <c r="M148" i="12"/>
  <c r="N148" i="12" s="1"/>
  <c r="I148" i="12"/>
  <c r="H148" i="12"/>
  <c r="F148" i="12"/>
  <c r="N147" i="12"/>
  <c r="I147" i="12"/>
  <c r="H147" i="12"/>
  <c r="F147" i="12"/>
  <c r="N146" i="12"/>
  <c r="I146" i="12"/>
  <c r="H146" i="12"/>
  <c r="F146" i="12"/>
  <c r="N145" i="12"/>
  <c r="I145" i="12"/>
  <c r="H145" i="12"/>
  <c r="F145" i="12"/>
  <c r="M144" i="12"/>
  <c r="N144" i="12" s="1"/>
  <c r="I144" i="12"/>
  <c r="H144" i="12"/>
  <c r="F144" i="12"/>
  <c r="M143" i="12"/>
  <c r="N143" i="12" s="1"/>
  <c r="I143" i="12"/>
  <c r="H143" i="12"/>
  <c r="F143" i="12"/>
  <c r="N142" i="12"/>
  <c r="I142" i="12"/>
  <c r="H142" i="12"/>
  <c r="F142" i="12"/>
  <c r="M141" i="12"/>
  <c r="N141" i="12" s="1"/>
  <c r="I141" i="12"/>
  <c r="H141" i="12"/>
  <c r="F141" i="12"/>
  <c r="M140" i="12"/>
  <c r="N140" i="12" s="1"/>
  <c r="I140" i="12"/>
  <c r="H140" i="12"/>
  <c r="F140" i="12"/>
  <c r="M139" i="12"/>
  <c r="N139" i="12" s="1"/>
  <c r="I139" i="12"/>
  <c r="H139" i="12"/>
  <c r="F139" i="12"/>
  <c r="M138" i="12"/>
  <c r="N138" i="12" s="1"/>
  <c r="I138" i="12"/>
  <c r="H138" i="12"/>
  <c r="F138" i="12"/>
  <c r="N137" i="12"/>
  <c r="I137" i="12"/>
  <c r="H137" i="12"/>
  <c r="F137" i="12"/>
  <c r="N136" i="12"/>
  <c r="I136" i="12"/>
  <c r="H136" i="12"/>
  <c r="F136" i="12"/>
  <c r="M135" i="12"/>
  <c r="N135" i="12" s="1"/>
  <c r="I135" i="12"/>
  <c r="H135" i="12"/>
  <c r="F135" i="12"/>
  <c r="N134" i="12"/>
  <c r="I134" i="12"/>
  <c r="H134" i="12"/>
  <c r="F134" i="12"/>
  <c r="N133" i="12"/>
  <c r="I133" i="12"/>
  <c r="H133" i="12"/>
  <c r="F133" i="12"/>
  <c r="M132" i="12"/>
  <c r="N132" i="12" s="1"/>
  <c r="I132" i="12"/>
  <c r="H132" i="12"/>
  <c r="F132" i="12"/>
  <c r="N131" i="12"/>
  <c r="I131" i="12"/>
  <c r="H131" i="12"/>
  <c r="F131" i="12"/>
  <c r="M130" i="12"/>
  <c r="N130" i="12" s="1"/>
  <c r="I130" i="12"/>
  <c r="H130" i="12"/>
  <c r="F130" i="12"/>
  <c r="N129" i="12"/>
  <c r="I129" i="12"/>
  <c r="H129" i="12"/>
  <c r="F129" i="12"/>
  <c r="N128" i="12"/>
  <c r="I128" i="12"/>
  <c r="H128" i="12"/>
  <c r="F128" i="12"/>
  <c r="N127" i="12"/>
  <c r="I127" i="12"/>
  <c r="H127" i="12"/>
  <c r="F127" i="12"/>
  <c r="N126" i="12"/>
  <c r="I126" i="12"/>
  <c r="H126" i="12"/>
  <c r="F126" i="12"/>
  <c r="M125" i="12"/>
  <c r="N125" i="12" s="1"/>
  <c r="I125" i="12"/>
  <c r="H125" i="12"/>
  <c r="F125" i="12"/>
  <c r="M124" i="12"/>
  <c r="N124" i="12" s="1"/>
  <c r="I124" i="12"/>
  <c r="H124" i="12"/>
  <c r="F124" i="12"/>
  <c r="M123" i="12"/>
  <c r="N123" i="12" s="1"/>
  <c r="I123" i="12"/>
  <c r="H123" i="12"/>
  <c r="F123" i="12"/>
  <c r="M122" i="12"/>
  <c r="N122" i="12" s="1"/>
  <c r="I122" i="12"/>
  <c r="H122" i="12"/>
  <c r="F122" i="12"/>
  <c r="M121" i="12"/>
  <c r="N121" i="12" s="1"/>
  <c r="I121" i="12"/>
  <c r="H121" i="12"/>
  <c r="F121" i="12"/>
  <c r="N120" i="12"/>
  <c r="I120" i="12"/>
  <c r="H120" i="12"/>
  <c r="F120" i="12"/>
  <c r="N119" i="12"/>
  <c r="I119" i="12"/>
  <c r="H119" i="12"/>
  <c r="F119" i="12"/>
  <c r="M115" i="12"/>
  <c r="N115" i="12" s="1"/>
  <c r="I115" i="12"/>
  <c r="H115" i="12"/>
  <c r="F115" i="12"/>
  <c r="M114" i="12"/>
  <c r="N114" i="12" s="1"/>
  <c r="I114" i="12"/>
  <c r="H114" i="12"/>
  <c r="F114" i="12"/>
  <c r="M113" i="12"/>
  <c r="N113" i="12" s="1"/>
  <c r="I113" i="12"/>
  <c r="H113" i="12"/>
  <c r="F113" i="12"/>
  <c r="M112" i="12"/>
  <c r="N112" i="12" s="1"/>
  <c r="I112" i="12"/>
  <c r="H112" i="12"/>
  <c r="F112" i="12"/>
  <c r="M111" i="12"/>
  <c r="N111" i="12" s="1"/>
  <c r="I111" i="12"/>
  <c r="H111" i="12"/>
  <c r="F111" i="12"/>
  <c r="M110" i="12"/>
  <c r="N110" i="12" s="1"/>
  <c r="I110" i="12"/>
  <c r="H110" i="12"/>
  <c r="F110" i="12"/>
  <c r="M109" i="12"/>
  <c r="N109" i="12" s="1"/>
  <c r="I109" i="12"/>
  <c r="H109" i="12"/>
  <c r="F109" i="12"/>
  <c r="I108" i="12"/>
  <c r="H108" i="12"/>
  <c r="F108" i="12"/>
  <c r="N107" i="12"/>
  <c r="I107" i="12"/>
  <c r="H107" i="12"/>
  <c r="F107" i="12"/>
  <c r="M106" i="12"/>
  <c r="N106" i="12" s="1"/>
  <c r="I106" i="12"/>
  <c r="H106" i="12"/>
  <c r="F106" i="12"/>
  <c r="M105" i="12"/>
  <c r="N105" i="12" s="1"/>
  <c r="I105" i="12"/>
  <c r="H105" i="12"/>
  <c r="F105" i="12"/>
  <c r="M104" i="12"/>
  <c r="N104" i="12" s="1"/>
  <c r="I104" i="12"/>
  <c r="H104" i="12"/>
  <c r="F104" i="12"/>
  <c r="M103" i="12"/>
  <c r="N103" i="12" s="1"/>
  <c r="I103" i="12"/>
  <c r="H103" i="12"/>
  <c r="F103" i="12"/>
  <c r="M102" i="12"/>
  <c r="N102" i="12" s="1"/>
  <c r="I102" i="12"/>
  <c r="H102" i="12"/>
  <c r="F102" i="12"/>
  <c r="M101" i="12"/>
  <c r="N101" i="12" s="1"/>
  <c r="I101" i="12"/>
  <c r="H101" i="12"/>
  <c r="F101" i="12"/>
  <c r="M100" i="12"/>
  <c r="N100" i="12" s="1"/>
  <c r="I100" i="12"/>
  <c r="H100" i="12"/>
  <c r="F100" i="12"/>
  <c r="M99" i="12"/>
  <c r="N99" i="12" s="1"/>
  <c r="I99" i="12"/>
  <c r="H99" i="12"/>
  <c r="F99" i="12"/>
  <c r="M98" i="12"/>
  <c r="N98" i="12" s="1"/>
  <c r="I98" i="12"/>
  <c r="H98" i="12"/>
  <c r="F98" i="12"/>
  <c r="M97" i="12"/>
  <c r="N97" i="12" s="1"/>
  <c r="I97" i="12"/>
  <c r="H97" i="12"/>
  <c r="F97" i="12"/>
  <c r="M96" i="12"/>
  <c r="N96" i="12" s="1"/>
  <c r="I96" i="12"/>
  <c r="H96" i="12"/>
  <c r="F96" i="12"/>
  <c r="M95" i="12"/>
  <c r="N95" i="12" s="1"/>
  <c r="I95" i="12"/>
  <c r="H95" i="12"/>
  <c r="F95" i="12"/>
  <c r="M94" i="12"/>
  <c r="N94" i="12" s="1"/>
  <c r="I94" i="12"/>
  <c r="H94" i="12"/>
  <c r="F94" i="12"/>
  <c r="M93" i="12"/>
  <c r="N93" i="12" s="1"/>
  <c r="I93" i="12"/>
  <c r="H93" i="12"/>
  <c r="F93" i="12"/>
  <c r="M92" i="12"/>
  <c r="N92" i="12" s="1"/>
  <c r="I92" i="12"/>
  <c r="H92" i="12"/>
  <c r="F92" i="12"/>
  <c r="M91" i="12"/>
  <c r="N91" i="12" s="1"/>
  <c r="I91" i="12"/>
  <c r="H91" i="12"/>
  <c r="F91" i="12"/>
  <c r="M90" i="12"/>
  <c r="N90" i="12" s="1"/>
  <c r="I90" i="12"/>
  <c r="H90" i="12"/>
  <c r="F90" i="12"/>
  <c r="M89" i="12"/>
  <c r="N89" i="12" s="1"/>
  <c r="I89" i="12"/>
  <c r="H89" i="12"/>
  <c r="F89" i="12"/>
  <c r="M88" i="12"/>
  <c r="N88" i="12" s="1"/>
  <c r="I88" i="12"/>
  <c r="H88" i="12"/>
  <c r="F88" i="12"/>
  <c r="M87" i="12"/>
  <c r="N87" i="12" s="1"/>
  <c r="I87" i="12"/>
  <c r="H87" i="12"/>
  <c r="F87" i="12"/>
  <c r="M86" i="12"/>
  <c r="N86" i="12" s="1"/>
  <c r="I86" i="12"/>
  <c r="H86" i="12"/>
  <c r="F86" i="12"/>
  <c r="N85" i="12"/>
  <c r="I85" i="12"/>
  <c r="H85" i="12"/>
  <c r="F85" i="12"/>
  <c r="M84" i="12"/>
  <c r="N84" i="12" s="1"/>
  <c r="I84" i="12"/>
  <c r="H84" i="12"/>
  <c r="F84" i="12"/>
  <c r="M83" i="12"/>
  <c r="N83" i="12" s="1"/>
  <c r="I83" i="12"/>
  <c r="H83" i="12"/>
  <c r="F83" i="12"/>
  <c r="M82" i="12"/>
  <c r="N82" i="12" s="1"/>
  <c r="I82" i="12"/>
  <c r="H82" i="12"/>
  <c r="F82" i="12"/>
  <c r="M81" i="12"/>
  <c r="N81" i="12" s="1"/>
  <c r="I81" i="12"/>
  <c r="H81" i="12"/>
  <c r="F81" i="12"/>
  <c r="M80" i="12"/>
  <c r="N80" i="12" s="1"/>
  <c r="I80" i="12"/>
  <c r="H80" i="12"/>
  <c r="F80" i="12"/>
  <c r="M79" i="12"/>
  <c r="N79" i="12" s="1"/>
  <c r="I79" i="12"/>
  <c r="H79" i="12"/>
  <c r="F79" i="12"/>
  <c r="M78" i="12"/>
  <c r="N78" i="12" s="1"/>
  <c r="I78" i="12"/>
  <c r="H78" i="12"/>
  <c r="F78" i="12"/>
  <c r="M77" i="12"/>
  <c r="N77" i="12" s="1"/>
  <c r="I77" i="12"/>
  <c r="H77" i="12"/>
  <c r="F77" i="12"/>
  <c r="M76" i="12"/>
  <c r="N76" i="12" s="1"/>
  <c r="I76" i="12"/>
  <c r="H76" i="12"/>
  <c r="F76" i="12"/>
  <c r="M75" i="12"/>
  <c r="N75" i="12" s="1"/>
  <c r="I75" i="12"/>
  <c r="H75" i="12"/>
  <c r="F75" i="12"/>
  <c r="M74" i="12"/>
  <c r="N74" i="12" s="1"/>
  <c r="I74" i="12"/>
  <c r="H74" i="12"/>
  <c r="F74" i="12"/>
  <c r="M73" i="12"/>
  <c r="N73" i="12" s="1"/>
  <c r="I73" i="12"/>
  <c r="H73" i="12"/>
  <c r="F73" i="12"/>
  <c r="M72" i="12"/>
  <c r="N72" i="12" s="1"/>
  <c r="I72" i="12"/>
  <c r="H72" i="12"/>
  <c r="F72" i="12"/>
  <c r="M71" i="12"/>
  <c r="N71" i="12" s="1"/>
  <c r="I71" i="12"/>
  <c r="H71" i="12"/>
  <c r="F71" i="12"/>
  <c r="M70" i="12"/>
  <c r="N70" i="12" s="1"/>
  <c r="I70" i="12"/>
  <c r="H70" i="12"/>
  <c r="F70" i="12"/>
  <c r="M69" i="12"/>
  <c r="N69" i="12" s="1"/>
  <c r="I69" i="12"/>
  <c r="H69" i="12"/>
  <c r="F69" i="12"/>
  <c r="M68" i="12"/>
  <c r="N68" i="12" s="1"/>
  <c r="I68" i="12"/>
  <c r="H68" i="12"/>
  <c r="F68" i="12"/>
  <c r="M67" i="12"/>
  <c r="N67" i="12" s="1"/>
  <c r="I67" i="12"/>
  <c r="H67" i="12"/>
  <c r="F67" i="12"/>
  <c r="M66" i="12"/>
  <c r="N66" i="12" s="1"/>
  <c r="I66" i="12"/>
  <c r="H66" i="12"/>
  <c r="F66" i="12"/>
  <c r="M65" i="12"/>
  <c r="N65" i="12" s="1"/>
  <c r="I65" i="12"/>
  <c r="H65" i="12"/>
  <c r="F65" i="12"/>
  <c r="M64" i="12"/>
  <c r="N64" i="12" s="1"/>
  <c r="I64" i="12"/>
  <c r="H64" i="12"/>
  <c r="F64" i="12"/>
  <c r="N63" i="12"/>
  <c r="I63" i="12"/>
  <c r="H63" i="12"/>
  <c r="F63" i="12"/>
  <c r="M62" i="12"/>
  <c r="N62" i="12" s="1"/>
  <c r="I62" i="12"/>
  <c r="H62" i="12"/>
  <c r="F62" i="12"/>
  <c r="M61" i="12"/>
  <c r="N61" i="12" s="1"/>
  <c r="I61" i="12"/>
  <c r="H61" i="12"/>
  <c r="F61" i="12"/>
  <c r="M60" i="12"/>
  <c r="N60" i="12" s="1"/>
  <c r="I60" i="12"/>
  <c r="H60" i="12"/>
  <c r="F60" i="12"/>
  <c r="M59" i="12"/>
  <c r="N59" i="12" s="1"/>
  <c r="I59" i="12"/>
  <c r="H59" i="12"/>
  <c r="F59" i="12"/>
  <c r="M58" i="12"/>
  <c r="N58" i="12" s="1"/>
  <c r="I58" i="12"/>
  <c r="H58" i="12"/>
  <c r="F58" i="12"/>
  <c r="M57" i="12"/>
  <c r="N57" i="12" s="1"/>
  <c r="I57" i="12"/>
  <c r="H57" i="12"/>
  <c r="F57" i="12"/>
  <c r="M56" i="12"/>
  <c r="N56" i="12" s="1"/>
  <c r="I56" i="12"/>
  <c r="H56" i="12"/>
  <c r="F56" i="12"/>
  <c r="M55" i="12"/>
  <c r="N55" i="12" s="1"/>
  <c r="I55" i="12"/>
  <c r="H55" i="12"/>
  <c r="F55" i="12"/>
  <c r="M54" i="12"/>
  <c r="N54" i="12" s="1"/>
  <c r="I54" i="12"/>
  <c r="H54" i="12"/>
  <c r="F54" i="12"/>
  <c r="M53" i="12"/>
  <c r="N53" i="12" s="1"/>
  <c r="I53" i="12"/>
  <c r="H53" i="12"/>
  <c r="F53" i="12"/>
  <c r="M52" i="12"/>
  <c r="N52" i="12" s="1"/>
  <c r="I52" i="12"/>
  <c r="H52" i="12"/>
  <c r="F52" i="12"/>
  <c r="M51" i="12"/>
  <c r="N51" i="12" s="1"/>
  <c r="I51" i="12"/>
  <c r="H51" i="12"/>
  <c r="F51" i="12"/>
  <c r="M50" i="12"/>
  <c r="N50" i="12" s="1"/>
  <c r="I50" i="12"/>
  <c r="H50" i="12"/>
  <c r="F50" i="12"/>
  <c r="M49" i="12"/>
  <c r="N49" i="12" s="1"/>
  <c r="I49" i="12"/>
  <c r="H49" i="12"/>
  <c r="F49" i="12"/>
  <c r="M48" i="12"/>
  <c r="N48" i="12" s="1"/>
  <c r="I48" i="12"/>
  <c r="H48" i="12"/>
  <c r="F48" i="12"/>
  <c r="M47" i="12"/>
  <c r="N47" i="12" s="1"/>
  <c r="I47" i="12"/>
  <c r="H47" i="12"/>
  <c r="F47" i="12"/>
  <c r="M46" i="12"/>
  <c r="N46" i="12" s="1"/>
  <c r="I46" i="12"/>
  <c r="H46" i="12"/>
  <c r="F46" i="12"/>
  <c r="M45" i="12"/>
  <c r="N45" i="12" s="1"/>
  <c r="I45" i="12"/>
  <c r="H45" i="12"/>
  <c r="F45" i="12"/>
  <c r="M44" i="12"/>
  <c r="N44" i="12" s="1"/>
  <c r="I44" i="12"/>
  <c r="H44" i="12"/>
  <c r="F44" i="12"/>
  <c r="M43" i="12"/>
  <c r="N43" i="12" s="1"/>
  <c r="I43" i="12"/>
  <c r="H43" i="12"/>
  <c r="F43" i="12"/>
  <c r="M42" i="12"/>
  <c r="N42" i="12" s="1"/>
  <c r="I42" i="12"/>
  <c r="H42" i="12"/>
  <c r="F42" i="12"/>
  <c r="M41" i="12"/>
  <c r="N41" i="12" s="1"/>
  <c r="I41" i="12"/>
  <c r="H41" i="12"/>
  <c r="F41" i="12"/>
  <c r="M40" i="12"/>
  <c r="N40" i="12" s="1"/>
  <c r="I40" i="12"/>
  <c r="H40" i="12"/>
  <c r="F40" i="12"/>
  <c r="M39" i="12"/>
  <c r="N39" i="12" s="1"/>
  <c r="I39" i="12"/>
  <c r="H39" i="12"/>
  <c r="F39" i="12"/>
  <c r="M38" i="12"/>
  <c r="N38" i="12" s="1"/>
  <c r="I38" i="12"/>
  <c r="H38" i="12"/>
  <c r="F38" i="12"/>
  <c r="M37" i="12"/>
  <c r="N37" i="12" s="1"/>
  <c r="I37" i="12"/>
  <c r="H37" i="12"/>
  <c r="F37" i="12"/>
  <c r="M36" i="12"/>
  <c r="N36" i="12" s="1"/>
  <c r="I36" i="12"/>
  <c r="H36" i="12"/>
  <c r="F36" i="12"/>
  <c r="M35" i="12"/>
  <c r="N35" i="12" s="1"/>
  <c r="I35" i="12"/>
  <c r="H35" i="12"/>
  <c r="F35" i="12"/>
  <c r="M34" i="12"/>
  <c r="N34" i="12" s="1"/>
  <c r="I34" i="12"/>
  <c r="H34" i="12"/>
  <c r="F34" i="12"/>
  <c r="M33" i="12"/>
  <c r="N33" i="12" s="1"/>
  <c r="I33" i="12"/>
  <c r="H33" i="12"/>
  <c r="F33" i="12"/>
  <c r="M32" i="12"/>
  <c r="N32" i="12" s="1"/>
  <c r="I32" i="12"/>
  <c r="H32" i="12"/>
  <c r="F32" i="12"/>
  <c r="M31" i="12"/>
  <c r="N31" i="12" s="1"/>
  <c r="I31" i="12"/>
  <c r="H31" i="12"/>
  <c r="F31" i="12"/>
  <c r="M30" i="12"/>
  <c r="N30" i="12" s="1"/>
  <c r="I30" i="12"/>
  <c r="H30" i="12"/>
  <c r="F30" i="12"/>
  <c r="M29" i="12"/>
  <c r="N29" i="12" s="1"/>
  <c r="I29" i="12"/>
  <c r="H29" i="12"/>
  <c r="F29" i="12"/>
  <c r="M28" i="12"/>
  <c r="N28" i="12" s="1"/>
  <c r="I28" i="12"/>
  <c r="H28" i="12"/>
  <c r="F28" i="12"/>
  <c r="M27" i="12"/>
  <c r="N27" i="12" s="1"/>
  <c r="I27" i="12"/>
  <c r="H27" i="12"/>
  <c r="F27" i="12"/>
  <c r="M26" i="12"/>
  <c r="N26" i="12" s="1"/>
  <c r="I26" i="12"/>
  <c r="H26" i="12"/>
  <c r="F26" i="12"/>
  <c r="M25" i="12"/>
  <c r="N25" i="12" s="1"/>
  <c r="I25" i="12"/>
  <c r="H25" i="12"/>
  <c r="F25" i="12"/>
  <c r="M24" i="12"/>
  <c r="N24" i="12" s="1"/>
  <c r="I24" i="12"/>
  <c r="H24" i="12"/>
  <c r="F24" i="12"/>
  <c r="N23" i="12"/>
  <c r="I23" i="12"/>
  <c r="H23" i="12"/>
  <c r="F23" i="12"/>
  <c r="M22" i="12"/>
  <c r="N22" i="12" s="1"/>
  <c r="I22" i="12"/>
  <c r="H22" i="12"/>
  <c r="F22" i="12"/>
  <c r="N21" i="12"/>
  <c r="I21" i="12"/>
  <c r="H21" i="12"/>
  <c r="F21" i="12"/>
  <c r="N20" i="12"/>
  <c r="I20" i="12"/>
  <c r="H20" i="12"/>
  <c r="F20" i="12"/>
  <c r="N19" i="12"/>
  <c r="I19" i="12"/>
  <c r="H19" i="12"/>
  <c r="F19" i="12"/>
  <c r="H137" i="9" l="1"/>
  <c r="F137" i="9"/>
  <c r="H136" i="9"/>
  <c r="F136" i="9"/>
  <c r="H135" i="9"/>
  <c r="F135" i="9"/>
  <c r="N134" i="9"/>
  <c r="H134" i="9"/>
  <c r="F134" i="9"/>
  <c r="H133" i="9"/>
  <c r="F133" i="9"/>
  <c r="H132" i="9"/>
  <c r="F132" i="9"/>
  <c r="H131" i="9"/>
  <c r="F131" i="9"/>
  <c r="H127" i="9"/>
  <c r="F127" i="9"/>
  <c r="H126" i="9"/>
  <c r="F126" i="9"/>
  <c r="N125" i="9"/>
  <c r="H125" i="9"/>
  <c r="F125" i="9"/>
  <c r="N124" i="9"/>
  <c r="H124" i="9"/>
  <c r="F124" i="9"/>
  <c r="H123" i="9"/>
  <c r="F123" i="9"/>
  <c r="H122" i="9"/>
  <c r="F122" i="9"/>
  <c r="H121" i="9"/>
  <c r="F121" i="9"/>
  <c r="N120" i="9"/>
  <c r="I120" i="9"/>
  <c r="H120" i="9"/>
  <c r="F120" i="9"/>
  <c r="I119" i="9"/>
  <c r="H119" i="9"/>
  <c r="F119" i="9"/>
  <c r="N118" i="9"/>
  <c r="I118" i="9"/>
  <c r="H118" i="9"/>
  <c r="F118" i="9"/>
  <c r="N117" i="9"/>
  <c r="I117" i="9"/>
  <c r="H117" i="9"/>
  <c r="F117" i="9"/>
  <c r="N116" i="9"/>
  <c r="I116" i="9"/>
  <c r="H116" i="9"/>
  <c r="F116" i="9"/>
  <c r="N115" i="9"/>
  <c r="I115" i="9"/>
  <c r="H115" i="9"/>
  <c r="F115" i="9"/>
  <c r="N114" i="9"/>
  <c r="I114" i="9"/>
  <c r="H114" i="9"/>
  <c r="F114" i="9"/>
  <c r="N113" i="9"/>
  <c r="I113" i="9"/>
  <c r="H113" i="9"/>
  <c r="F113" i="9"/>
  <c r="N112" i="9"/>
  <c r="I112" i="9"/>
  <c r="H112" i="9"/>
  <c r="F112" i="9"/>
  <c r="M111" i="9"/>
  <c r="N111" i="9" s="1"/>
  <c r="I111" i="9"/>
  <c r="H111" i="9"/>
  <c r="F111" i="9"/>
  <c r="N110" i="9"/>
  <c r="I110" i="9"/>
  <c r="H110" i="9"/>
  <c r="F110" i="9"/>
  <c r="N109" i="9"/>
  <c r="I109" i="9"/>
  <c r="H109" i="9"/>
  <c r="F109" i="9"/>
  <c r="M108" i="9"/>
  <c r="N108" i="9" s="1"/>
  <c r="I108" i="9"/>
  <c r="H108" i="9"/>
  <c r="F108" i="9"/>
  <c r="N107" i="9"/>
  <c r="I107" i="9"/>
  <c r="H107" i="9"/>
  <c r="F107" i="9"/>
  <c r="M106" i="9"/>
  <c r="N106" i="9" s="1"/>
  <c r="I106" i="9"/>
  <c r="H106" i="9"/>
  <c r="F106" i="9"/>
  <c r="N105" i="9"/>
  <c r="I105" i="9"/>
  <c r="H105" i="9"/>
  <c r="F105" i="9"/>
  <c r="M104" i="9"/>
  <c r="N104" i="9" s="1"/>
  <c r="I104" i="9"/>
  <c r="H104" i="9"/>
  <c r="F104" i="9"/>
  <c r="N103" i="9"/>
  <c r="I103" i="9"/>
  <c r="H103" i="9"/>
  <c r="F103" i="9"/>
  <c r="N102" i="9"/>
  <c r="I102" i="9"/>
  <c r="H102" i="9"/>
  <c r="F102" i="9"/>
  <c r="M98" i="9"/>
  <c r="N98" i="9" s="1"/>
  <c r="H98" i="9"/>
  <c r="F98" i="9"/>
  <c r="N97" i="9"/>
  <c r="H97" i="9"/>
  <c r="F97" i="9"/>
  <c r="M96" i="9"/>
  <c r="N96" i="9" s="1"/>
  <c r="H96" i="9"/>
  <c r="F96" i="9"/>
  <c r="N95" i="9"/>
  <c r="I95" i="9"/>
  <c r="H95" i="9"/>
  <c r="F95" i="9"/>
  <c r="N94" i="9"/>
  <c r="I94" i="9"/>
  <c r="H94" i="9"/>
  <c r="F94" i="9"/>
  <c r="N93" i="9"/>
  <c r="I93" i="9"/>
  <c r="H93" i="9"/>
  <c r="F93" i="9"/>
  <c r="N92" i="9"/>
  <c r="I92" i="9"/>
  <c r="H92" i="9"/>
  <c r="F92" i="9"/>
  <c r="N91" i="9"/>
  <c r="I91" i="9"/>
  <c r="H91" i="9"/>
  <c r="F91" i="9"/>
  <c r="N90" i="9"/>
  <c r="I90" i="9"/>
  <c r="H90" i="9"/>
  <c r="F90" i="9"/>
  <c r="N89" i="9"/>
  <c r="I89" i="9"/>
  <c r="H89" i="9"/>
  <c r="F89" i="9"/>
  <c r="M88" i="9"/>
  <c r="N88" i="9" s="1"/>
  <c r="I88" i="9"/>
  <c r="H88" i="9"/>
  <c r="F88" i="9"/>
  <c r="N87" i="9"/>
  <c r="I87" i="9"/>
  <c r="H87" i="9"/>
  <c r="F87" i="9"/>
  <c r="N86" i="9"/>
  <c r="I86" i="9"/>
  <c r="H86" i="9"/>
  <c r="F86" i="9"/>
  <c r="N85" i="9"/>
  <c r="I85" i="9"/>
  <c r="H85" i="9"/>
  <c r="F85" i="9"/>
  <c r="N84" i="9"/>
  <c r="I84" i="9"/>
  <c r="H84" i="9"/>
  <c r="F84" i="9"/>
  <c r="N83" i="9"/>
  <c r="I83" i="9"/>
  <c r="H83" i="9"/>
  <c r="F83" i="9"/>
  <c r="N82" i="9"/>
  <c r="I82" i="9"/>
  <c r="H82" i="9"/>
  <c r="F82" i="9"/>
  <c r="N81" i="9"/>
  <c r="I81" i="9"/>
  <c r="H81" i="9"/>
  <c r="F81" i="9"/>
  <c r="M80" i="9"/>
  <c r="N80" i="9" s="1"/>
  <c r="I80" i="9"/>
  <c r="H80" i="9"/>
  <c r="F80" i="9"/>
  <c r="N79" i="9"/>
  <c r="I79" i="9"/>
  <c r="H79" i="9"/>
  <c r="F79" i="9"/>
  <c r="M78" i="9"/>
  <c r="N78" i="9" s="1"/>
  <c r="I78" i="9"/>
  <c r="H78" i="9"/>
  <c r="F78" i="9"/>
  <c r="N77" i="9"/>
  <c r="I77" i="9"/>
  <c r="H77" i="9"/>
  <c r="F77" i="9"/>
  <c r="N76" i="9"/>
  <c r="I76" i="9"/>
  <c r="H76" i="9"/>
  <c r="F76" i="9"/>
  <c r="N75" i="9"/>
  <c r="I75" i="9"/>
  <c r="H75" i="9"/>
  <c r="F75" i="9"/>
  <c r="N74" i="9"/>
  <c r="I74" i="9"/>
  <c r="H74" i="9"/>
  <c r="F74" i="9"/>
  <c r="M73" i="9"/>
  <c r="N73" i="9" s="1"/>
  <c r="I73" i="9"/>
  <c r="H73" i="9"/>
  <c r="F73" i="9"/>
  <c r="H64" i="9"/>
  <c r="F64" i="9"/>
  <c r="N63" i="9"/>
  <c r="I63" i="9"/>
  <c r="H63" i="9"/>
  <c r="F63" i="9"/>
  <c r="I62" i="9"/>
  <c r="H62" i="9"/>
  <c r="F62" i="9"/>
  <c r="N61" i="9"/>
  <c r="I61" i="9"/>
  <c r="H61" i="9"/>
  <c r="F61" i="9"/>
  <c r="N60" i="9"/>
  <c r="I60" i="9"/>
  <c r="H60" i="9"/>
  <c r="F60" i="9"/>
  <c r="N59" i="9"/>
  <c r="I59" i="9"/>
  <c r="H59" i="9"/>
  <c r="F59" i="9"/>
  <c r="N58" i="9"/>
  <c r="I58" i="9"/>
  <c r="H58" i="9"/>
  <c r="F58" i="9"/>
  <c r="N57" i="9"/>
  <c r="I57" i="9"/>
  <c r="H57" i="9"/>
  <c r="F57" i="9"/>
  <c r="M56" i="9"/>
  <c r="N56" i="9" s="1"/>
  <c r="I56" i="9"/>
  <c r="H56" i="9"/>
  <c r="F56" i="9"/>
  <c r="N55" i="9"/>
  <c r="I55" i="9"/>
  <c r="H55" i="9"/>
  <c r="F55" i="9"/>
  <c r="N54" i="9"/>
  <c r="I54" i="9"/>
  <c r="H54" i="9"/>
  <c r="F54" i="9"/>
  <c r="N53" i="9"/>
  <c r="I53" i="9"/>
  <c r="H53" i="9"/>
  <c r="F53" i="9"/>
  <c r="N52" i="9"/>
  <c r="I52" i="9"/>
  <c r="H52" i="9"/>
  <c r="F52" i="9"/>
  <c r="N51" i="9"/>
  <c r="I51" i="9"/>
  <c r="H51" i="9"/>
  <c r="F51" i="9"/>
  <c r="N50" i="9"/>
  <c r="I50" i="9"/>
  <c r="H50" i="9"/>
  <c r="F50" i="9"/>
  <c r="N49" i="9"/>
  <c r="I49" i="9"/>
  <c r="H49" i="9"/>
  <c r="F49" i="9"/>
  <c r="N48" i="9"/>
  <c r="I48" i="9"/>
  <c r="H48" i="9"/>
  <c r="F48" i="9"/>
  <c r="M47" i="9"/>
  <c r="N47" i="9" s="1"/>
  <c r="I47" i="9"/>
  <c r="H47" i="9"/>
  <c r="F47" i="9"/>
  <c r="N46" i="9"/>
  <c r="I46" i="9"/>
  <c r="H46" i="9"/>
  <c r="F46" i="9"/>
  <c r="N45" i="9"/>
  <c r="I45" i="9"/>
  <c r="H45" i="9"/>
  <c r="F45" i="9"/>
  <c r="N44" i="9"/>
  <c r="I44" i="9"/>
  <c r="H44" i="9"/>
  <c r="F44" i="9"/>
  <c r="N43" i="9"/>
  <c r="I43" i="9"/>
  <c r="H43" i="9"/>
  <c r="F43" i="9"/>
  <c r="N42" i="9"/>
  <c r="I42" i="9"/>
  <c r="H42" i="9"/>
  <c r="F42" i="9"/>
  <c r="N41" i="9"/>
  <c r="I41" i="9"/>
  <c r="H41" i="9"/>
  <c r="F41" i="9"/>
  <c r="M40" i="9"/>
  <c r="N40" i="9" s="1"/>
  <c r="I40" i="9"/>
  <c r="H40" i="9"/>
  <c r="F40" i="9"/>
  <c r="M39" i="9"/>
  <c r="N39" i="9" s="1"/>
  <c r="I39" i="9"/>
  <c r="H39" i="9"/>
  <c r="F39" i="9"/>
  <c r="M38" i="9"/>
  <c r="N38" i="9" s="1"/>
  <c r="I38" i="9"/>
  <c r="H38" i="9"/>
  <c r="F38" i="9"/>
  <c r="M37" i="9"/>
  <c r="N37" i="9" s="1"/>
  <c r="I37" i="9"/>
  <c r="H37" i="9"/>
  <c r="F37" i="9"/>
  <c r="M36" i="9"/>
  <c r="N36" i="9" s="1"/>
  <c r="I36" i="9"/>
  <c r="H36" i="9"/>
  <c r="F36" i="9"/>
  <c r="M35" i="9"/>
  <c r="N35" i="9" s="1"/>
  <c r="I35" i="9"/>
  <c r="H35" i="9"/>
  <c r="F35" i="9"/>
  <c r="N34" i="9"/>
  <c r="I34" i="9"/>
  <c r="H34" i="9"/>
  <c r="F34" i="9"/>
  <c r="N33" i="9"/>
  <c r="I33" i="9"/>
  <c r="H33" i="9"/>
  <c r="F33" i="9"/>
  <c r="M32" i="9"/>
  <c r="N32" i="9" s="1"/>
  <c r="I32" i="9"/>
  <c r="H32" i="9"/>
  <c r="F32" i="9"/>
  <c r="N31" i="9"/>
  <c r="I31" i="9"/>
  <c r="H31" i="9"/>
  <c r="F31" i="9"/>
  <c r="N30" i="9"/>
  <c r="I30" i="9"/>
  <c r="H30" i="9"/>
  <c r="F30" i="9"/>
  <c r="N29" i="9"/>
  <c r="I29" i="9"/>
  <c r="H29" i="9"/>
  <c r="F29" i="9"/>
  <c r="M28" i="9"/>
  <c r="N28" i="9" s="1"/>
  <c r="I28" i="9"/>
  <c r="H28" i="9"/>
  <c r="F28" i="9"/>
  <c r="M27" i="9"/>
  <c r="N27" i="9" s="1"/>
  <c r="I27" i="9"/>
  <c r="H27" i="9"/>
  <c r="F27" i="9"/>
  <c r="M26" i="9"/>
  <c r="N26" i="9" s="1"/>
  <c r="I26" i="9"/>
  <c r="H26" i="9"/>
  <c r="F26" i="9"/>
  <c r="N25" i="9"/>
  <c r="I25" i="9"/>
  <c r="H25" i="9"/>
  <c r="F25" i="9"/>
  <c r="M24" i="9"/>
  <c r="N24" i="9" s="1"/>
  <c r="I24" i="9"/>
  <c r="H24" i="9"/>
  <c r="F24" i="9"/>
  <c r="M23" i="9"/>
  <c r="N23" i="9" s="1"/>
  <c r="I23" i="9"/>
  <c r="H23" i="9"/>
  <c r="F23" i="9"/>
  <c r="M22" i="9"/>
  <c r="N22" i="9" s="1"/>
  <c r="I22" i="9"/>
  <c r="H22" i="9"/>
  <c r="F22" i="9"/>
  <c r="N21" i="9"/>
  <c r="I21" i="9"/>
  <c r="H21" i="9"/>
  <c r="F21" i="9"/>
  <c r="N20" i="9"/>
  <c r="I20" i="9"/>
  <c r="H20" i="9"/>
  <c r="F20" i="9"/>
  <c r="N19" i="9"/>
  <c r="I19" i="9"/>
  <c r="H19" i="9"/>
  <c r="F19" i="9"/>
  <c r="M69" i="9" l="1"/>
  <c r="H69" i="9"/>
  <c r="N186" i="8" l="1"/>
  <c r="H186" i="8"/>
  <c r="F186" i="8"/>
  <c r="H185" i="8"/>
  <c r="F185" i="8"/>
  <c r="N184" i="8"/>
  <c r="H184" i="8"/>
  <c r="F184" i="8"/>
  <c r="H183" i="8"/>
  <c r="F183" i="8"/>
  <c r="H182" i="8"/>
  <c r="F182" i="8"/>
  <c r="N178" i="8"/>
  <c r="H178" i="8"/>
  <c r="F178" i="8"/>
  <c r="N177" i="8"/>
  <c r="H177" i="8"/>
  <c r="F177" i="8"/>
  <c r="N176" i="8"/>
  <c r="H176" i="8"/>
  <c r="F176" i="8"/>
  <c r="H175" i="8"/>
  <c r="F175" i="8"/>
  <c r="M174" i="8"/>
  <c r="N174" i="8" s="1"/>
  <c r="H174" i="8"/>
  <c r="F174" i="8"/>
  <c r="N173" i="8"/>
  <c r="I173" i="8"/>
  <c r="H173" i="8"/>
  <c r="F173" i="8"/>
  <c r="N172" i="8"/>
  <c r="I172" i="8"/>
  <c r="H172" i="8"/>
  <c r="F172" i="8"/>
  <c r="N171" i="8"/>
  <c r="I171" i="8"/>
  <c r="H171" i="8"/>
  <c r="F171" i="8"/>
  <c r="N170" i="8"/>
  <c r="I170" i="8"/>
  <c r="H170" i="8"/>
  <c r="F170" i="8"/>
  <c r="N169" i="8"/>
  <c r="I169" i="8"/>
  <c r="H169" i="8"/>
  <c r="F169" i="8"/>
  <c r="N168" i="8"/>
  <c r="I168" i="8"/>
  <c r="H168" i="8"/>
  <c r="F168" i="8"/>
  <c r="N167" i="8"/>
  <c r="I167" i="8"/>
  <c r="H167" i="8"/>
  <c r="F167" i="8"/>
  <c r="M166" i="8"/>
  <c r="N166" i="8" s="1"/>
  <c r="I166" i="8"/>
  <c r="H166" i="8"/>
  <c r="F166" i="8"/>
  <c r="M165" i="8"/>
  <c r="N165" i="8" s="1"/>
  <c r="I165" i="8"/>
  <c r="H165" i="8"/>
  <c r="F165" i="8"/>
  <c r="N164" i="8"/>
  <c r="I164" i="8"/>
  <c r="H164" i="8"/>
  <c r="F164" i="8"/>
  <c r="N163" i="8"/>
  <c r="I163" i="8"/>
  <c r="H163" i="8"/>
  <c r="F163" i="8"/>
  <c r="N162" i="8"/>
  <c r="I162" i="8"/>
  <c r="H162" i="8"/>
  <c r="F162" i="8"/>
  <c r="N161" i="8"/>
  <c r="I161" i="8"/>
  <c r="H161" i="8"/>
  <c r="F161" i="8"/>
  <c r="M160" i="8"/>
  <c r="N160" i="8" s="1"/>
  <c r="I160" i="8"/>
  <c r="H160" i="8"/>
  <c r="F160" i="8"/>
  <c r="N159" i="8"/>
  <c r="I159" i="8"/>
  <c r="H159" i="8"/>
  <c r="F159" i="8"/>
  <c r="M158" i="8"/>
  <c r="N158" i="8" s="1"/>
  <c r="I158" i="8"/>
  <c r="H158" i="8"/>
  <c r="F158" i="8"/>
  <c r="N157" i="8"/>
  <c r="I157" i="8"/>
  <c r="H157" i="8"/>
  <c r="F157" i="8"/>
  <c r="N156" i="8"/>
  <c r="I156" i="8"/>
  <c r="H156" i="8"/>
  <c r="F156" i="8"/>
  <c r="N155" i="8"/>
  <c r="I155" i="8"/>
  <c r="H155" i="8"/>
  <c r="F155" i="8"/>
  <c r="M154" i="8"/>
  <c r="N154" i="8" s="1"/>
  <c r="I154" i="8"/>
  <c r="H154" i="8"/>
  <c r="F154" i="8"/>
  <c r="M153" i="8"/>
  <c r="N153" i="8" s="1"/>
  <c r="I153" i="8"/>
  <c r="H153" i="8"/>
  <c r="F153" i="8"/>
  <c r="N152" i="8"/>
  <c r="I152" i="8"/>
  <c r="H152" i="8"/>
  <c r="F152" i="8"/>
  <c r="N151" i="8"/>
  <c r="I151" i="8"/>
  <c r="H151" i="8"/>
  <c r="F151" i="8"/>
  <c r="N150" i="8"/>
  <c r="I150" i="8"/>
  <c r="H150" i="8"/>
  <c r="F150" i="8"/>
  <c r="N149" i="8"/>
  <c r="I149" i="8"/>
  <c r="H149" i="8"/>
  <c r="F149" i="8"/>
  <c r="M148" i="8"/>
  <c r="N148" i="8" s="1"/>
  <c r="I148" i="8"/>
  <c r="H148" i="8"/>
  <c r="F148" i="8"/>
  <c r="N147" i="8"/>
  <c r="I147" i="8"/>
  <c r="H147" i="8"/>
  <c r="F147" i="8"/>
  <c r="N146" i="8"/>
  <c r="I146" i="8"/>
  <c r="H146" i="8"/>
  <c r="F146" i="8"/>
  <c r="N145" i="8"/>
  <c r="I145" i="8"/>
  <c r="H145" i="8"/>
  <c r="F145" i="8"/>
  <c r="N144" i="8"/>
  <c r="I144" i="8"/>
  <c r="H144" i="8"/>
  <c r="F144" i="8"/>
  <c r="N143" i="8"/>
  <c r="I143" i="8"/>
  <c r="H143" i="8"/>
  <c r="F143" i="8"/>
  <c r="N142" i="8"/>
  <c r="I142" i="8"/>
  <c r="H142" i="8"/>
  <c r="F142" i="8"/>
  <c r="M141" i="8"/>
  <c r="N141" i="8" s="1"/>
  <c r="I141" i="8"/>
  <c r="H141" i="8"/>
  <c r="F141" i="8"/>
  <c r="N140" i="8"/>
  <c r="I140" i="8"/>
  <c r="H140" i="8"/>
  <c r="F140" i="8"/>
  <c r="N139" i="8"/>
  <c r="I139" i="8"/>
  <c r="H139" i="8"/>
  <c r="F139" i="8"/>
  <c r="N138" i="8"/>
  <c r="I138" i="8"/>
  <c r="H138" i="8"/>
  <c r="F138" i="8"/>
  <c r="M137" i="8"/>
  <c r="N137" i="8" s="1"/>
  <c r="I137" i="8"/>
  <c r="H137" i="8"/>
  <c r="F137" i="8"/>
  <c r="N133" i="8"/>
  <c r="I133" i="8"/>
  <c r="H133" i="8"/>
  <c r="F133" i="8"/>
  <c r="N132" i="8"/>
  <c r="I132" i="8"/>
  <c r="H132" i="8"/>
  <c r="F132" i="8"/>
  <c r="N131" i="8"/>
  <c r="I131" i="8"/>
  <c r="H131" i="8"/>
  <c r="F131" i="8"/>
  <c r="N130" i="8"/>
  <c r="I130" i="8"/>
  <c r="H130" i="8"/>
  <c r="F130" i="8"/>
  <c r="N129" i="8"/>
  <c r="I129" i="8"/>
  <c r="H129" i="8"/>
  <c r="F129" i="8"/>
  <c r="N128" i="8"/>
  <c r="I128" i="8"/>
  <c r="H128" i="8"/>
  <c r="F128" i="8"/>
  <c r="N127" i="8"/>
  <c r="I127" i="8"/>
  <c r="H127" i="8"/>
  <c r="F127" i="8"/>
  <c r="N126" i="8"/>
  <c r="I126" i="8"/>
  <c r="H126" i="8"/>
  <c r="F126" i="8"/>
  <c r="N125" i="8"/>
  <c r="I125" i="8"/>
  <c r="H125" i="8"/>
  <c r="F125" i="8"/>
  <c r="N124" i="8"/>
  <c r="I124" i="8"/>
  <c r="H124" i="8"/>
  <c r="F124" i="8"/>
  <c r="N123" i="8"/>
  <c r="I123" i="8"/>
  <c r="H123" i="8"/>
  <c r="F123" i="8"/>
  <c r="N122" i="8"/>
  <c r="I122" i="8"/>
  <c r="H122" i="8"/>
  <c r="F122" i="8"/>
  <c r="N121" i="8"/>
  <c r="I121" i="8"/>
  <c r="H121" i="8"/>
  <c r="F121" i="8"/>
  <c r="N120" i="8"/>
  <c r="I120" i="8"/>
  <c r="H120" i="8"/>
  <c r="F120" i="8"/>
  <c r="N119" i="8"/>
  <c r="I119" i="8"/>
  <c r="H119" i="8"/>
  <c r="F119" i="8"/>
  <c r="N118" i="8"/>
  <c r="I118" i="8"/>
  <c r="H118" i="8"/>
  <c r="F118" i="8"/>
  <c r="N117" i="8"/>
  <c r="I117" i="8"/>
  <c r="H117" i="8"/>
  <c r="F117" i="8"/>
  <c r="M116" i="8"/>
  <c r="N116" i="8" s="1"/>
  <c r="I116" i="8"/>
  <c r="H116" i="8"/>
  <c r="F116" i="8"/>
  <c r="N115" i="8"/>
  <c r="I115" i="8"/>
  <c r="H115" i="8"/>
  <c r="F115" i="8"/>
  <c r="N114" i="8"/>
  <c r="I114" i="8"/>
  <c r="H114" i="8"/>
  <c r="F114" i="8"/>
  <c r="M113" i="8"/>
  <c r="N113" i="8" s="1"/>
  <c r="I113" i="8"/>
  <c r="H113" i="8"/>
  <c r="F113" i="8"/>
  <c r="M112" i="8"/>
  <c r="N112" i="8" s="1"/>
  <c r="I112" i="8"/>
  <c r="H112" i="8"/>
  <c r="F112" i="8"/>
  <c r="N111" i="8"/>
  <c r="I111" i="8"/>
  <c r="H111" i="8"/>
  <c r="F111" i="8"/>
  <c r="N110" i="8"/>
  <c r="I110" i="8"/>
  <c r="H110" i="8"/>
  <c r="F110" i="8"/>
  <c r="N109" i="8"/>
  <c r="I109" i="8"/>
  <c r="H109" i="8"/>
  <c r="F109" i="8"/>
  <c r="N108" i="8"/>
  <c r="I108" i="8"/>
  <c r="H108" i="8"/>
  <c r="F108" i="8"/>
  <c r="N107" i="8"/>
  <c r="I107" i="8"/>
  <c r="H107" i="8"/>
  <c r="F107" i="8"/>
  <c r="N106" i="8"/>
  <c r="I106" i="8"/>
  <c r="H106" i="8"/>
  <c r="F106" i="8"/>
  <c r="N105" i="8"/>
  <c r="I105" i="8"/>
  <c r="H105" i="8"/>
  <c r="F105" i="8"/>
  <c r="N104" i="8"/>
  <c r="I104" i="8"/>
  <c r="H104" i="8"/>
  <c r="F104" i="8"/>
  <c r="N103" i="8"/>
  <c r="I103" i="8"/>
  <c r="H103" i="8"/>
  <c r="F103" i="8"/>
  <c r="N102" i="8"/>
  <c r="I102" i="8"/>
  <c r="H102" i="8"/>
  <c r="F102" i="8"/>
  <c r="N101" i="8"/>
  <c r="I101" i="8"/>
  <c r="H101" i="8"/>
  <c r="F101" i="8"/>
  <c r="M100" i="8"/>
  <c r="N100" i="8" s="1"/>
  <c r="I100" i="8"/>
  <c r="H100" i="8"/>
  <c r="F100" i="8"/>
  <c r="N91" i="8"/>
  <c r="I91" i="8"/>
  <c r="H91" i="8"/>
  <c r="F91" i="8"/>
  <c r="N90" i="8"/>
  <c r="I90" i="8"/>
  <c r="H90" i="8"/>
  <c r="F90" i="8"/>
  <c r="N89" i="8"/>
  <c r="I89" i="8"/>
  <c r="H89" i="8"/>
  <c r="F89" i="8"/>
  <c r="N88" i="8"/>
  <c r="I88" i="8"/>
  <c r="H88" i="8"/>
  <c r="F88" i="8"/>
  <c r="N87" i="8"/>
  <c r="I87" i="8"/>
  <c r="H87" i="8"/>
  <c r="F87" i="8"/>
  <c r="N86" i="8"/>
  <c r="I86" i="8"/>
  <c r="H86" i="8"/>
  <c r="F86" i="8"/>
  <c r="N85" i="8"/>
  <c r="I85" i="8"/>
  <c r="H85" i="8"/>
  <c r="F85" i="8"/>
  <c r="N84" i="8"/>
  <c r="I84" i="8"/>
  <c r="H84" i="8"/>
  <c r="F84" i="8"/>
  <c r="N83" i="8"/>
  <c r="I83" i="8"/>
  <c r="H83" i="8"/>
  <c r="F83" i="8"/>
  <c r="N82" i="8"/>
  <c r="I82" i="8"/>
  <c r="H82" i="8"/>
  <c r="F82" i="8"/>
  <c r="N81" i="8"/>
  <c r="I81" i="8"/>
  <c r="H81" i="8"/>
  <c r="F81" i="8"/>
  <c r="N80" i="8"/>
  <c r="I80" i="8"/>
  <c r="H80" i="8"/>
  <c r="F80" i="8"/>
  <c r="N79" i="8"/>
  <c r="I79" i="8"/>
  <c r="H79" i="8"/>
  <c r="F79" i="8"/>
  <c r="M78" i="8"/>
  <c r="N78" i="8" s="1"/>
  <c r="I78" i="8"/>
  <c r="H78" i="8"/>
  <c r="F78" i="8"/>
  <c r="N77" i="8"/>
  <c r="I77" i="8"/>
  <c r="H77" i="8"/>
  <c r="F77" i="8"/>
  <c r="M76" i="8"/>
  <c r="N76" i="8" s="1"/>
  <c r="I76" i="8"/>
  <c r="H76" i="8"/>
  <c r="F76" i="8"/>
  <c r="M75" i="8"/>
  <c r="N75" i="8" s="1"/>
  <c r="I75" i="8"/>
  <c r="H75" i="8"/>
  <c r="F75" i="8"/>
  <c r="M74" i="8"/>
  <c r="N74" i="8" s="1"/>
  <c r="I74" i="8"/>
  <c r="H74" i="8"/>
  <c r="F74" i="8"/>
  <c r="M73" i="8"/>
  <c r="N73" i="8" s="1"/>
  <c r="I73" i="8"/>
  <c r="H73" i="8"/>
  <c r="F73" i="8"/>
  <c r="M72" i="8"/>
  <c r="N72" i="8" s="1"/>
  <c r="I72" i="8"/>
  <c r="H72" i="8"/>
  <c r="F72" i="8"/>
  <c r="N71" i="8"/>
  <c r="I71" i="8"/>
  <c r="H71" i="8"/>
  <c r="F71" i="8"/>
  <c r="N70" i="8"/>
  <c r="I70" i="8"/>
  <c r="H70" i="8"/>
  <c r="F70" i="8"/>
  <c r="N69" i="8"/>
  <c r="I69" i="8"/>
  <c r="H69" i="8"/>
  <c r="F69" i="8"/>
  <c r="N68" i="8"/>
  <c r="I68" i="8"/>
  <c r="H68" i="8"/>
  <c r="F68" i="8"/>
  <c r="N67" i="8"/>
  <c r="I67" i="8"/>
  <c r="H67" i="8"/>
  <c r="F67" i="8"/>
  <c r="N66" i="8"/>
  <c r="I66" i="8"/>
  <c r="H66" i="8"/>
  <c r="F66" i="8"/>
  <c r="N65" i="8"/>
  <c r="I65" i="8"/>
  <c r="H65" i="8"/>
  <c r="F65" i="8"/>
  <c r="N64" i="8"/>
  <c r="I64" i="8"/>
  <c r="H64" i="8"/>
  <c r="F64" i="8"/>
  <c r="N63" i="8"/>
  <c r="I63" i="8"/>
  <c r="H63" i="8"/>
  <c r="F63" i="8"/>
  <c r="N62" i="8"/>
  <c r="I62" i="8"/>
  <c r="H62" i="8"/>
  <c r="F62" i="8"/>
  <c r="N61" i="8"/>
  <c r="I61" i="8"/>
  <c r="H61" i="8"/>
  <c r="F61" i="8"/>
  <c r="N60" i="8"/>
  <c r="I60" i="8"/>
  <c r="H60" i="8"/>
  <c r="F60" i="8"/>
  <c r="N59" i="8"/>
  <c r="I59" i="8"/>
  <c r="H59" i="8"/>
  <c r="F59" i="8"/>
  <c r="N58" i="8"/>
  <c r="I58" i="8"/>
  <c r="H58" i="8"/>
  <c r="F58" i="8"/>
  <c r="M57" i="8"/>
  <c r="N57" i="8" s="1"/>
  <c r="I57" i="8"/>
  <c r="H57" i="8"/>
  <c r="F57" i="8"/>
  <c r="N56" i="8"/>
  <c r="I56" i="8"/>
  <c r="H56" i="8"/>
  <c r="F56" i="8"/>
  <c r="N55" i="8"/>
  <c r="I55" i="8"/>
  <c r="H55" i="8"/>
  <c r="F55" i="8"/>
  <c r="N54" i="8"/>
  <c r="I54" i="8"/>
  <c r="H54" i="8"/>
  <c r="F54" i="8"/>
  <c r="N53" i="8"/>
  <c r="I53" i="8"/>
  <c r="H53" i="8"/>
  <c r="F53" i="8"/>
  <c r="N52" i="8"/>
  <c r="I52" i="8"/>
  <c r="H52" i="8"/>
  <c r="F52" i="8"/>
  <c r="N51" i="8"/>
  <c r="I51" i="8"/>
  <c r="H51" i="8"/>
  <c r="F51" i="8"/>
  <c r="N50" i="8"/>
  <c r="I50" i="8"/>
  <c r="H50" i="8"/>
  <c r="F50" i="8"/>
  <c r="N49" i="8"/>
  <c r="I49" i="8"/>
  <c r="H49" i="8"/>
  <c r="F49" i="8"/>
  <c r="N48" i="8"/>
  <c r="I48" i="8"/>
  <c r="H48" i="8"/>
  <c r="F48" i="8"/>
  <c r="M47" i="8"/>
  <c r="N47" i="8" s="1"/>
  <c r="I47" i="8"/>
  <c r="H47" i="8"/>
  <c r="F47" i="8"/>
  <c r="M46" i="8"/>
  <c r="N46" i="8" s="1"/>
  <c r="I46" i="8"/>
  <c r="H46" i="8"/>
  <c r="F46" i="8"/>
  <c r="M45" i="8"/>
  <c r="N45" i="8" s="1"/>
  <c r="I45" i="8"/>
  <c r="H45" i="8"/>
  <c r="F45" i="8"/>
  <c r="N44" i="8"/>
  <c r="I44" i="8"/>
  <c r="H44" i="8"/>
  <c r="F44" i="8"/>
  <c r="N43" i="8"/>
  <c r="I43" i="8"/>
  <c r="H43" i="8"/>
  <c r="F43" i="8"/>
  <c r="M42" i="8"/>
  <c r="N42" i="8" s="1"/>
  <c r="I42" i="8"/>
  <c r="H42" i="8"/>
  <c r="F42" i="8"/>
  <c r="M41" i="8"/>
  <c r="N41" i="8" s="1"/>
  <c r="I41" i="8"/>
  <c r="H41" i="8"/>
  <c r="F41" i="8"/>
  <c r="N40" i="8"/>
  <c r="I40" i="8"/>
  <c r="H40" i="8"/>
  <c r="F40" i="8"/>
  <c r="M39" i="8"/>
  <c r="N39" i="8" s="1"/>
  <c r="I39" i="8"/>
  <c r="H39" i="8"/>
  <c r="F39" i="8"/>
  <c r="M38" i="8"/>
  <c r="N38" i="8" s="1"/>
  <c r="I38" i="8"/>
  <c r="H38" i="8"/>
  <c r="F38" i="8"/>
  <c r="N37" i="8"/>
  <c r="I37" i="8"/>
  <c r="H37" i="8"/>
  <c r="F37" i="8"/>
  <c r="N36" i="8"/>
  <c r="I36" i="8"/>
  <c r="H36" i="8"/>
  <c r="F36" i="8"/>
  <c r="N35" i="8"/>
  <c r="I35" i="8"/>
  <c r="H35" i="8"/>
  <c r="F35" i="8"/>
  <c r="M34" i="8"/>
  <c r="N34" i="8" s="1"/>
  <c r="I34" i="8"/>
  <c r="H34" i="8"/>
  <c r="F34" i="8"/>
  <c r="N33" i="8"/>
  <c r="I33" i="8"/>
  <c r="H33" i="8"/>
  <c r="F33" i="8"/>
  <c r="N32" i="8"/>
  <c r="I32" i="8"/>
  <c r="H32" i="8"/>
  <c r="F32" i="8"/>
  <c r="N31" i="8"/>
  <c r="I31" i="8"/>
  <c r="H31" i="8"/>
  <c r="F31" i="8"/>
  <c r="M30" i="8"/>
  <c r="N30" i="8" s="1"/>
  <c r="I30" i="8"/>
  <c r="H30" i="8"/>
  <c r="F30" i="8"/>
  <c r="M29" i="8"/>
  <c r="N29" i="8" s="1"/>
  <c r="I29" i="8"/>
  <c r="H29" i="8"/>
  <c r="F29" i="8"/>
  <c r="N28" i="8"/>
  <c r="I28" i="8"/>
  <c r="H28" i="8"/>
  <c r="F28" i="8"/>
  <c r="N27" i="8"/>
  <c r="I27" i="8"/>
  <c r="H27" i="8"/>
  <c r="F27" i="8"/>
  <c r="N26" i="8"/>
  <c r="I26" i="8"/>
  <c r="H26" i="8"/>
  <c r="F26" i="8"/>
  <c r="N25" i="8"/>
  <c r="I25" i="8"/>
  <c r="H25" i="8"/>
  <c r="F25" i="8"/>
  <c r="M24" i="8"/>
  <c r="N24" i="8" s="1"/>
  <c r="I24" i="8"/>
  <c r="H24" i="8"/>
  <c r="F24" i="8"/>
  <c r="N23" i="8"/>
  <c r="I23" i="8"/>
  <c r="H23" i="8"/>
  <c r="F23" i="8"/>
  <c r="N22" i="8"/>
  <c r="I22" i="8"/>
  <c r="H22" i="8"/>
  <c r="F22" i="8"/>
  <c r="N21" i="8"/>
  <c r="I21" i="8"/>
  <c r="H21" i="8"/>
  <c r="F21" i="8"/>
  <c r="N20" i="8"/>
  <c r="I20" i="8"/>
  <c r="H20" i="8"/>
  <c r="F20" i="8"/>
  <c r="N19" i="8"/>
  <c r="I19" i="8"/>
  <c r="H19" i="8"/>
  <c r="F19" i="8"/>
  <c r="M96" i="8"/>
  <c r="H96" i="8"/>
  <c r="H377" i="4" l="1"/>
  <c r="F377" i="4"/>
  <c r="H376" i="4"/>
  <c r="F376" i="4"/>
  <c r="H375" i="4"/>
  <c r="F375" i="4"/>
  <c r="H374" i="4"/>
  <c r="F374" i="4"/>
  <c r="H373" i="4"/>
  <c r="F373" i="4"/>
  <c r="H372" i="4"/>
  <c r="F372" i="4"/>
  <c r="L371" i="4"/>
  <c r="H371" i="4"/>
  <c r="F371" i="4"/>
  <c r="H370" i="4"/>
  <c r="F370" i="4"/>
  <c r="H369" i="4"/>
  <c r="F369" i="4"/>
  <c r="K368" i="4"/>
  <c r="H368" i="4"/>
  <c r="F368" i="4"/>
  <c r="L367" i="4"/>
  <c r="H367" i="4"/>
  <c r="F367" i="4"/>
  <c r="H366" i="4"/>
  <c r="F366" i="4"/>
  <c r="H365" i="4"/>
  <c r="F365" i="4"/>
  <c r="H364" i="4"/>
  <c r="F364" i="4"/>
  <c r="H363" i="4"/>
  <c r="F363" i="4"/>
  <c r="H362" i="4"/>
  <c r="F362" i="4"/>
  <c r="H361" i="4"/>
  <c r="F361" i="4"/>
  <c r="H360" i="4"/>
  <c r="F360" i="4"/>
  <c r="H359" i="4"/>
  <c r="F359" i="4"/>
  <c r="H355" i="4"/>
  <c r="F355" i="4"/>
  <c r="H354" i="4"/>
  <c r="F354" i="4"/>
  <c r="H353" i="4"/>
  <c r="F353" i="4"/>
  <c r="H352" i="4"/>
  <c r="F352" i="4"/>
  <c r="H351" i="4"/>
  <c r="F351" i="4"/>
  <c r="L350" i="4"/>
  <c r="H350" i="4"/>
  <c r="F350" i="4"/>
  <c r="H349" i="4"/>
  <c r="F349" i="4"/>
  <c r="L348" i="4"/>
  <c r="H348" i="4"/>
  <c r="F348" i="4"/>
  <c r="H347" i="4"/>
  <c r="F347" i="4"/>
  <c r="K346" i="4"/>
  <c r="L346" i="4" s="1"/>
  <c r="H346" i="4"/>
  <c r="F346" i="4"/>
  <c r="H345" i="4"/>
  <c r="F345" i="4"/>
  <c r="K344" i="4"/>
  <c r="L344" i="4" s="1"/>
  <c r="H344" i="4"/>
  <c r="F344" i="4"/>
  <c r="H343" i="4"/>
  <c r="F343" i="4"/>
  <c r="H342" i="4"/>
  <c r="F342" i="4"/>
  <c r="L341" i="4"/>
  <c r="H341" i="4"/>
  <c r="F341" i="4"/>
  <c r="L340" i="4"/>
  <c r="K340" i="4"/>
  <c r="H340" i="4"/>
  <c r="F340" i="4"/>
  <c r="L339" i="4"/>
  <c r="H339" i="4"/>
  <c r="F339" i="4"/>
  <c r="H338" i="4"/>
  <c r="F338" i="4"/>
  <c r="H337" i="4"/>
  <c r="F337" i="4"/>
  <c r="H336" i="4"/>
  <c r="F336" i="4"/>
  <c r="H335" i="4"/>
  <c r="F335" i="4"/>
  <c r="K334" i="4"/>
  <c r="L334" i="4" s="1"/>
  <c r="I334" i="4"/>
  <c r="H334" i="4"/>
  <c r="F334" i="4"/>
  <c r="L333" i="4"/>
  <c r="I333" i="4"/>
  <c r="H333" i="4"/>
  <c r="F333" i="4"/>
  <c r="K332" i="4"/>
  <c r="L332" i="4" s="1"/>
  <c r="I332" i="4"/>
  <c r="H332" i="4"/>
  <c r="F332" i="4"/>
  <c r="L331" i="4"/>
  <c r="I331" i="4"/>
  <c r="H331" i="4"/>
  <c r="F331" i="4"/>
  <c r="L330" i="4"/>
  <c r="I330" i="4"/>
  <c r="H330" i="4"/>
  <c r="F330" i="4"/>
  <c r="L329" i="4"/>
  <c r="I329" i="4"/>
  <c r="H329" i="4"/>
  <c r="F329" i="4"/>
  <c r="L328" i="4"/>
  <c r="I328" i="4"/>
  <c r="H328" i="4"/>
  <c r="F328" i="4"/>
  <c r="K327" i="4"/>
  <c r="L327" i="4" s="1"/>
  <c r="I327" i="4"/>
  <c r="H327" i="4"/>
  <c r="F327" i="4"/>
  <c r="L326" i="4"/>
  <c r="I326" i="4"/>
  <c r="H326" i="4"/>
  <c r="F326" i="4"/>
  <c r="L325" i="4"/>
  <c r="I325" i="4"/>
  <c r="H325" i="4"/>
  <c r="F325" i="4"/>
  <c r="L324" i="4"/>
  <c r="I324" i="4"/>
  <c r="H324" i="4"/>
  <c r="F324" i="4"/>
  <c r="L323" i="4"/>
  <c r="I323" i="4"/>
  <c r="H323" i="4"/>
  <c r="F323" i="4"/>
  <c r="L322" i="4"/>
  <c r="I322" i="4"/>
  <c r="H322" i="4"/>
  <c r="F322" i="4"/>
  <c r="L321" i="4"/>
  <c r="I321" i="4"/>
  <c r="H321" i="4"/>
  <c r="F321" i="4"/>
  <c r="L320" i="4"/>
  <c r="I320" i="4"/>
  <c r="H320" i="4"/>
  <c r="F320" i="4"/>
  <c r="L319" i="4"/>
  <c r="I319" i="4"/>
  <c r="H319" i="4"/>
  <c r="F319" i="4"/>
  <c r="L318" i="4"/>
  <c r="I318" i="4"/>
  <c r="H318" i="4"/>
  <c r="F318" i="4"/>
  <c r="L317" i="4"/>
  <c r="I317" i="4"/>
  <c r="H317" i="4"/>
  <c r="F317" i="4"/>
  <c r="L316" i="4"/>
  <c r="I316" i="4"/>
  <c r="H316" i="4"/>
  <c r="F316" i="4"/>
  <c r="L315" i="4"/>
  <c r="I315" i="4"/>
  <c r="H315" i="4"/>
  <c r="F315" i="4"/>
  <c r="L314" i="4"/>
  <c r="I314" i="4"/>
  <c r="H314" i="4"/>
  <c r="F314" i="4"/>
  <c r="K313" i="4"/>
  <c r="L313" i="4" s="1"/>
  <c r="I313" i="4"/>
  <c r="H313" i="4"/>
  <c r="F313" i="4"/>
  <c r="K312" i="4"/>
  <c r="L312" i="4" s="1"/>
  <c r="I312" i="4"/>
  <c r="H312" i="4"/>
  <c r="F312" i="4"/>
  <c r="K311" i="4"/>
  <c r="L311" i="4" s="1"/>
  <c r="I311" i="4"/>
  <c r="H311" i="4"/>
  <c r="F311" i="4"/>
  <c r="K310" i="4"/>
  <c r="L310" i="4" s="1"/>
  <c r="I310" i="4"/>
  <c r="H310" i="4"/>
  <c r="F310" i="4"/>
  <c r="L309" i="4"/>
  <c r="I309" i="4"/>
  <c r="H309" i="4"/>
  <c r="F309" i="4"/>
  <c r="K308" i="4"/>
  <c r="L308" i="4" s="1"/>
  <c r="I308" i="4"/>
  <c r="H308" i="4"/>
  <c r="F308" i="4"/>
  <c r="K307" i="4"/>
  <c r="L307" i="4" s="1"/>
  <c r="I307" i="4"/>
  <c r="H307" i="4"/>
  <c r="F307" i="4"/>
  <c r="L306" i="4"/>
  <c r="I306" i="4"/>
  <c r="H306" i="4"/>
  <c r="F306" i="4"/>
  <c r="K305" i="4"/>
  <c r="L305" i="4" s="1"/>
  <c r="I305" i="4"/>
  <c r="H305" i="4"/>
  <c r="F305" i="4"/>
  <c r="K304" i="4"/>
  <c r="L304" i="4" s="1"/>
  <c r="I304" i="4"/>
  <c r="H304" i="4"/>
  <c r="F304" i="4"/>
  <c r="K303" i="4"/>
  <c r="L303" i="4" s="1"/>
  <c r="I303" i="4"/>
  <c r="H303" i="4"/>
  <c r="F303" i="4"/>
  <c r="K302" i="4"/>
  <c r="L302" i="4" s="1"/>
  <c r="I302" i="4"/>
  <c r="H302" i="4"/>
  <c r="F302" i="4"/>
  <c r="L301" i="4"/>
  <c r="I301" i="4"/>
  <c r="H301" i="4"/>
  <c r="F301" i="4"/>
  <c r="K300" i="4"/>
  <c r="L300" i="4" s="1"/>
  <c r="I300" i="4"/>
  <c r="H300" i="4"/>
  <c r="F300" i="4"/>
  <c r="L299" i="4"/>
  <c r="I299" i="4"/>
  <c r="H299" i="4"/>
  <c r="F299" i="4"/>
  <c r="K298" i="4"/>
  <c r="L298" i="4" s="1"/>
  <c r="I298" i="4"/>
  <c r="H298" i="4"/>
  <c r="F298" i="4"/>
  <c r="K297" i="4"/>
  <c r="L297" i="4" s="1"/>
  <c r="I297" i="4"/>
  <c r="H297" i="4"/>
  <c r="F297" i="4"/>
  <c r="K296" i="4"/>
  <c r="L296" i="4" s="1"/>
  <c r="I296" i="4"/>
  <c r="H296" i="4"/>
  <c r="F296" i="4"/>
  <c r="K295" i="4"/>
  <c r="L295" i="4" s="1"/>
  <c r="I295" i="4"/>
  <c r="H295" i="4"/>
  <c r="F295" i="4"/>
  <c r="K294" i="4"/>
  <c r="L294" i="4" s="1"/>
  <c r="I294" i="4"/>
  <c r="H294" i="4"/>
  <c r="F294" i="4"/>
  <c r="K293" i="4"/>
  <c r="L293" i="4" s="1"/>
  <c r="I293" i="4"/>
  <c r="H293" i="4"/>
  <c r="F293" i="4"/>
  <c r="K292" i="4"/>
  <c r="L292" i="4" s="1"/>
  <c r="I292" i="4"/>
  <c r="H292" i="4"/>
  <c r="F292" i="4"/>
  <c r="K291" i="4"/>
  <c r="L291" i="4" s="1"/>
  <c r="I291" i="4"/>
  <c r="H291" i="4"/>
  <c r="F291" i="4"/>
  <c r="K290" i="4"/>
  <c r="L290" i="4" s="1"/>
  <c r="I290" i="4"/>
  <c r="H290" i="4"/>
  <c r="F290" i="4"/>
  <c r="L289" i="4"/>
  <c r="I289" i="4"/>
  <c r="H289" i="4"/>
  <c r="F289" i="4"/>
  <c r="K288" i="4"/>
  <c r="L288" i="4" s="1"/>
  <c r="I288" i="4"/>
  <c r="H288" i="4"/>
  <c r="F288" i="4"/>
  <c r="K287" i="4"/>
  <c r="L287" i="4" s="1"/>
  <c r="I287" i="4"/>
  <c r="H287" i="4"/>
  <c r="F287" i="4"/>
  <c r="K286" i="4"/>
  <c r="L286" i="4" s="1"/>
  <c r="I286" i="4"/>
  <c r="H286" i="4"/>
  <c r="F286" i="4"/>
  <c r="K285" i="4"/>
  <c r="L285" i="4" s="1"/>
  <c r="I285" i="4"/>
  <c r="H285" i="4"/>
  <c r="F285" i="4"/>
  <c r="L284" i="4"/>
  <c r="I284" i="4"/>
  <c r="H284" i="4"/>
  <c r="F284" i="4"/>
  <c r="L283" i="4"/>
  <c r="I283" i="4"/>
  <c r="H283" i="4"/>
  <c r="F283" i="4"/>
  <c r="K282" i="4"/>
  <c r="L282" i="4" s="1"/>
  <c r="I282" i="4"/>
  <c r="H282" i="4"/>
  <c r="F282" i="4"/>
  <c r="K281" i="4"/>
  <c r="L281" i="4" s="1"/>
  <c r="I281" i="4"/>
  <c r="H281" i="4"/>
  <c r="F281" i="4"/>
  <c r="L280" i="4"/>
  <c r="I280" i="4"/>
  <c r="H280" i="4"/>
  <c r="F280" i="4"/>
  <c r="L279" i="4"/>
  <c r="I279" i="4"/>
  <c r="H279" i="4"/>
  <c r="F279" i="4"/>
  <c r="K278" i="4"/>
  <c r="L278" i="4" s="1"/>
  <c r="I278" i="4"/>
  <c r="H278" i="4"/>
  <c r="F278" i="4"/>
  <c r="L277" i="4"/>
  <c r="I277" i="4"/>
  <c r="H277" i="4"/>
  <c r="F277" i="4"/>
  <c r="K276" i="4"/>
  <c r="L276" i="4" s="1"/>
  <c r="I276" i="4"/>
  <c r="H276" i="4"/>
  <c r="F276" i="4"/>
  <c r="K275" i="4"/>
  <c r="L275" i="4" s="1"/>
  <c r="I275" i="4"/>
  <c r="H275" i="4"/>
  <c r="F275" i="4"/>
  <c r="L274" i="4"/>
  <c r="I274" i="4"/>
  <c r="H274" i="4"/>
  <c r="F274" i="4"/>
  <c r="K273" i="4"/>
  <c r="L273" i="4" s="1"/>
  <c r="I273" i="4"/>
  <c r="H273" i="4"/>
  <c r="F273" i="4"/>
  <c r="L272" i="4"/>
  <c r="I272" i="4"/>
  <c r="H272" i="4"/>
  <c r="F272" i="4"/>
  <c r="L271" i="4"/>
  <c r="I271" i="4"/>
  <c r="H271" i="4"/>
  <c r="F271" i="4"/>
  <c r="L270" i="4"/>
  <c r="I270" i="4"/>
  <c r="H270" i="4"/>
  <c r="F270" i="4"/>
  <c r="L269" i="4"/>
  <c r="I269" i="4"/>
  <c r="H269" i="4"/>
  <c r="F269" i="4"/>
  <c r="K268" i="4"/>
  <c r="L268" i="4" s="1"/>
  <c r="I268" i="4"/>
  <c r="H268" i="4"/>
  <c r="F268" i="4"/>
  <c r="L267" i="4"/>
  <c r="I267" i="4"/>
  <c r="H267" i="4"/>
  <c r="F267" i="4"/>
  <c r="L266" i="4"/>
  <c r="I266" i="4"/>
  <c r="H266" i="4"/>
  <c r="F266" i="4"/>
  <c r="L265" i="4"/>
  <c r="I265" i="4"/>
  <c r="H265" i="4"/>
  <c r="F265" i="4"/>
  <c r="L264" i="4"/>
  <c r="I264" i="4"/>
  <c r="H264" i="4"/>
  <c r="F264" i="4"/>
  <c r="L263" i="4"/>
  <c r="I263" i="4"/>
  <c r="H263" i="4"/>
  <c r="F263" i="4"/>
  <c r="L262" i="4"/>
  <c r="I262" i="4"/>
  <c r="H262" i="4"/>
  <c r="F262" i="4"/>
  <c r="L261" i="4"/>
  <c r="I261" i="4"/>
  <c r="H261" i="4"/>
  <c r="F261" i="4"/>
  <c r="L260" i="4"/>
  <c r="I260" i="4"/>
  <c r="H260" i="4"/>
  <c r="F260" i="4"/>
  <c r="L259" i="4"/>
  <c r="I259" i="4"/>
  <c r="H259" i="4"/>
  <c r="F259" i="4"/>
  <c r="K258" i="4"/>
  <c r="L258" i="4" s="1"/>
  <c r="I258" i="4"/>
  <c r="H258" i="4"/>
  <c r="F258" i="4"/>
  <c r="L257" i="4"/>
  <c r="I257" i="4"/>
  <c r="H257" i="4"/>
  <c r="F257" i="4"/>
  <c r="L256" i="4"/>
  <c r="I256" i="4"/>
  <c r="H256" i="4"/>
  <c r="F256" i="4"/>
  <c r="L255" i="4"/>
  <c r="I255" i="4"/>
  <c r="H255" i="4"/>
  <c r="F255" i="4"/>
  <c r="L254" i="4"/>
  <c r="I254" i="4"/>
  <c r="H254" i="4"/>
  <c r="F254" i="4"/>
  <c r="L253" i="4"/>
  <c r="I253" i="4"/>
  <c r="H253" i="4"/>
  <c r="F253" i="4"/>
  <c r="L252" i="4"/>
  <c r="I252" i="4"/>
  <c r="H252" i="4"/>
  <c r="F252" i="4"/>
  <c r="K251" i="4"/>
  <c r="L251" i="4" s="1"/>
  <c r="I251" i="4"/>
  <c r="H251" i="4"/>
  <c r="F251" i="4"/>
  <c r="L250" i="4"/>
  <c r="I250" i="4"/>
  <c r="H250" i="4"/>
  <c r="F250" i="4"/>
  <c r="K249" i="4"/>
  <c r="L249" i="4" s="1"/>
  <c r="I249" i="4"/>
  <c r="H249" i="4"/>
  <c r="F249" i="4"/>
  <c r="L248" i="4"/>
  <c r="I248" i="4"/>
  <c r="H248" i="4"/>
  <c r="F248" i="4"/>
  <c r="L247" i="4"/>
  <c r="I247" i="4"/>
  <c r="H247" i="4"/>
  <c r="F247" i="4"/>
  <c r="L246" i="4"/>
  <c r="I246" i="4"/>
  <c r="H246" i="4"/>
  <c r="F246" i="4"/>
  <c r="K245" i="4"/>
  <c r="L245" i="4" s="1"/>
  <c r="I245" i="4"/>
  <c r="H245" i="4"/>
  <c r="F245" i="4"/>
  <c r="L244" i="4"/>
  <c r="I244" i="4"/>
  <c r="H244" i="4"/>
  <c r="F244" i="4"/>
  <c r="L243" i="4"/>
  <c r="I243" i="4"/>
  <c r="H243" i="4"/>
  <c r="F243" i="4"/>
  <c r="K242" i="4"/>
  <c r="L242" i="4" s="1"/>
  <c r="I242" i="4"/>
  <c r="H242" i="4"/>
  <c r="F242" i="4"/>
  <c r="H238" i="4"/>
  <c r="F238" i="4"/>
  <c r="L237" i="4"/>
  <c r="H237" i="4"/>
  <c r="F237" i="4"/>
  <c r="K236" i="4"/>
  <c r="L236" i="4" s="1"/>
  <c r="H236" i="4"/>
  <c r="F236" i="4"/>
  <c r="K235" i="4"/>
  <c r="L235" i="4" s="1"/>
  <c r="H235" i="4"/>
  <c r="F235" i="4"/>
  <c r="K234" i="4"/>
  <c r="L234" i="4" s="1"/>
  <c r="H234" i="4"/>
  <c r="F234" i="4"/>
  <c r="K233" i="4"/>
  <c r="L233" i="4" s="1"/>
  <c r="H233" i="4"/>
  <c r="F233" i="4"/>
  <c r="K232" i="4"/>
  <c r="L232" i="4" s="1"/>
  <c r="H232" i="4"/>
  <c r="F232" i="4"/>
  <c r="K231" i="4"/>
  <c r="L231" i="4" s="1"/>
  <c r="I231" i="4"/>
  <c r="H231" i="4"/>
  <c r="F231" i="4"/>
  <c r="K230" i="4"/>
  <c r="L230" i="4" s="1"/>
  <c r="I230" i="4"/>
  <c r="H230" i="4"/>
  <c r="F230" i="4"/>
  <c r="K229" i="4"/>
  <c r="L229" i="4" s="1"/>
  <c r="I229" i="4"/>
  <c r="H229" i="4"/>
  <c r="F229" i="4"/>
  <c r="K228" i="4"/>
  <c r="L228" i="4" s="1"/>
  <c r="I228" i="4"/>
  <c r="H228" i="4"/>
  <c r="F228" i="4"/>
  <c r="K227" i="4"/>
  <c r="L227" i="4" s="1"/>
  <c r="I227" i="4"/>
  <c r="H227" i="4"/>
  <c r="F227" i="4"/>
  <c r="K226" i="4"/>
  <c r="L226" i="4" s="1"/>
  <c r="I226" i="4"/>
  <c r="H226" i="4"/>
  <c r="F226" i="4"/>
  <c r="K225" i="4"/>
  <c r="L225" i="4" s="1"/>
  <c r="I225" i="4"/>
  <c r="H225" i="4"/>
  <c r="F225" i="4"/>
  <c r="K224" i="4"/>
  <c r="L224" i="4" s="1"/>
  <c r="I224" i="4"/>
  <c r="H224" i="4"/>
  <c r="F224" i="4"/>
  <c r="L223" i="4"/>
  <c r="I223" i="4"/>
  <c r="H223" i="4"/>
  <c r="F223" i="4"/>
  <c r="K222" i="4"/>
  <c r="L222" i="4" s="1"/>
  <c r="I222" i="4"/>
  <c r="H222" i="4"/>
  <c r="F222" i="4"/>
  <c r="K221" i="4"/>
  <c r="L221" i="4" s="1"/>
  <c r="I221" i="4"/>
  <c r="H221" i="4"/>
  <c r="F221" i="4"/>
  <c r="K220" i="4"/>
  <c r="L220" i="4" s="1"/>
  <c r="I220" i="4"/>
  <c r="H220" i="4"/>
  <c r="F220" i="4"/>
  <c r="K219" i="4"/>
  <c r="L219" i="4" s="1"/>
  <c r="I219" i="4"/>
  <c r="H219" i="4"/>
  <c r="F219" i="4"/>
  <c r="K218" i="4"/>
  <c r="L218" i="4" s="1"/>
  <c r="I218" i="4"/>
  <c r="H218" i="4"/>
  <c r="F218" i="4"/>
  <c r="K217" i="4"/>
  <c r="L217" i="4" s="1"/>
  <c r="I217" i="4"/>
  <c r="H217" i="4"/>
  <c r="F217" i="4"/>
  <c r="K216" i="4"/>
  <c r="L216" i="4" s="1"/>
  <c r="I216" i="4"/>
  <c r="H216" i="4"/>
  <c r="F216" i="4"/>
  <c r="K215" i="4"/>
  <c r="L215" i="4" s="1"/>
  <c r="I215" i="4"/>
  <c r="H215" i="4"/>
  <c r="F215" i="4"/>
  <c r="L214" i="4"/>
  <c r="I214" i="4"/>
  <c r="H214" i="4"/>
  <c r="F214" i="4"/>
  <c r="K213" i="4"/>
  <c r="L213" i="4" s="1"/>
  <c r="I213" i="4"/>
  <c r="H213" i="4"/>
  <c r="F213" i="4"/>
  <c r="K212" i="4"/>
  <c r="L212" i="4" s="1"/>
  <c r="I212" i="4"/>
  <c r="H212" i="4"/>
  <c r="F212" i="4"/>
  <c r="K211" i="4"/>
  <c r="L211" i="4" s="1"/>
  <c r="I211" i="4"/>
  <c r="H211" i="4"/>
  <c r="F211" i="4"/>
  <c r="K210" i="4"/>
  <c r="L210" i="4" s="1"/>
  <c r="I210" i="4"/>
  <c r="H210" i="4"/>
  <c r="F210" i="4"/>
  <c r="K209" i="4"/>
  <c r="L209" i="4" s="1"/>
  <c r="I209" i="4"/>
  <c r="H209" i="4"/>
  <c r="F209" i="4"/>
  <c r="L208" i="4"/>
  <c r="I208" i="4"/>
  <c r="H208" i="4"/>
  <c r="F208" i="4"/>
  <c r="L207" i="4"/>
  <c r="I207" i="4"/>
  <c r="H207" i="4"/>
  <c r="F207" i="4"/>
  <c r="K206" i="4"/>
  <c r="L206" i="4" s="1"/>
  <c r="I206" i="4"/>
  <c r="H206" i="4"/>
  <c r="F206" i="4"/>
  <c r="K205" i="4"/>
  <c r="L205" i="4" s="1"/>
  <c r="I205" i="4"/>
  <c r="H205" i="4"/>
  <c r="F205" i="4"/>
  <c r="L204" i="4"/>
  <c r="I204" i="4"/>
  <c r="H204" i="4"/>
  <c r="F204" i="4"/>
  <c r="K203" i="4"/>
  <c r="L203" i="4" s="1"/>
  <c r="I203" i="4"/>
  <c r="H203" i="4"/>
  <c r="F203" i="4"/>
  <c r="K202" i="4"/>
  <c r="L202" i="4" s="1"/>
  <c r="I202" i="4"/>
  <c r="H202" i="4"/>
  <c r="F202" i="4"/>
  <c r="K201" i="4"/>
  <c r="L201" i="4" s="1"/>
  <c r="I201" i="4"/>
  <c r="H201" i="4"/>
  <c r="F201" i="4"/>
  <c r="K200" i="4"/>
  <c r="L200" i="4" s="1"/>
  <c r="I200" i="4"/>
  <c r="H200" i="4"/>
  <c r="F200" i="4"/>
  <c r="K199" i="4"/>
  <c r="L199" i="4" s="1"/>
  <c r="I199" i="4"/>
  <c r="H199" i="4"/>
  <c r="F199" i="4"/>
  <c r="L198" i="4"/>
  <c r="I198" i="4"/>
  <c r="H198" i="4"/>
  <c r="F198" i="4"/>
  <c r="K197" i="4"/>
  <c r="L197" i="4" s="1"/>
  <c r="I197" i="4"/>
  <c r="H197" i="4"/>
  <c r="F197" i="4"/>
  <c r="L196" i="4"/>
  <c r="I196" i="4"/>
  <c r="H196" i="4"/>
  <c r="F196" i="4"/>
  <c r="K195" i="4"/>
  <c r="L195" i="4" s="1"/>
  <c r="I195" i="4"/>
  <c r="H195" i="4"/>
  <c r="F195" i="4"/>
  <c r="L194" i="4"/>
  <c r="I194" i="4"/>
  <c r="H194" i="4"/>
  <c r="F194" i="4"/>
  <c r="K193" i="4"/>
  <c r="L193" i="4" s="1"/>
  <c r="I193" i="4"/>
  <c r="H193" i="4"/>
  <c r="F193" i="4"/>
  <c r="K192" i="4"/>
  <c r="L192" i="4" s="1"/>
  <c r="I192" i="4"/>
  <c r="H192" i="4"/>
  <c r="F192" i="4"/>
  <c r="K191" i="4"/>
  <c r="L191" i="4" s="1"/>
  <c r="I191" i="4"/>
  <c r="H191" i="4"/>
  <c r="F191" i="4"/>
  <c r="K190" i="4"/>
  <c r="L190" i="4" s="1"/>
  <c r="I190" i="4"/>
  <c r="H190" i="4"/>
  <c r="F190" i="4"/>
  <c r="K189" i="4"/>
  <c r="L189" i="4" s="1"/>
  <c r="I189" i="4"/>
  <c r="H189" i="4"/>
  <c r="F189" i="4"/>
  <c r="L188" i="4"/>
  <c r="I188" i="4"/>
  <c r="H188" i="4"/>
  <c r="F188" i="4"/>
  <c r="K187" i="4"/>
  <c r="L187" i="4" s="1"/>
  <c r="I187" i="4"/>
  <c r="H187" i="4"/>
  <c r="F187" i="4"/>
  <c r="K186" i="4"/>
  <c r="L186" i="4" s="1"/>
  <c r="I186" i="4"/>
  <c r="H186" i="4"/>
  <c r="F186" i="4"/>
  <c r="K185" i="4"/>
  <c r="L185" i="4" s="1"/>
  <c r="I185" i="4"/>
  <c r="H185" i="4"/>
  <c r="F185" i="4"/>
  <c r="L184" i="4"/>
  <c r="I184" i="4"/>
  <c r="H184" i="4"/>
  <c r="F184" i="4"/>
  <c r="K183" i="4"/>
  <c r="L183" i="4" s="1"/>
  <c r="I183" i="4"/>
  <c r="H183" i="4"/>
  <c r="F183" i="4"/>
  <c r="K182" i="4"/>
  <c r="L182" i="4" s="1"/>
  <c r="I182" i="4"/>
  <c r="H182" i="4"/>
  <c r="F182" i="4"/>
  <c r="K181" i="4"/>
  <c r="L181" i="4" s="1"/>
  <c r="I181" i="4"/>
  <c r="H181" i="4"/>
  <c r="F181" i="4"/>
  <c r="L180" i="4"/>
  <c r="I180" i="4"/>
  <c r="H180" i="4"/>
  <c r="F180" i="4"/>
  <c r="K179" i="4"/>
  <c r="L179" i="4" s="1"/>
  <c r="I179" i="4"/>
  <c r="H179" i="4"/>
  <c r="F179" i="4"/>
  <c r="K178" i="4"/>
  <c r="L178" i="4" s="1"/>
  <c r="I178" i="4"/>
  <c r="H178" i="4"/>
  <c r="F178" i="4"/>
  <c r="L177" i="4"/>
  <c r="I177" i="4"/>
  <c r="H177" i="4"/>
  <c r="F177" i="4"/>
  <c r="L176" i="4"/>
  <c r="I176" i="4"/>
  <c r="H176" i="4"/>
  <c r="F176" i="4"/>
  <c r="L175" i="4"/>
  <c r="I175" i="4"/>
  <c r="H175" i="4"/>
  <c r="F175" i="4"/>
  <c r="L174" i="4"/>
  <c r="I174" i="4"/>
  <c r="H174" i="4"/>
  <c r="F174" i="4"/>
  <c r="L173" i="4"/>
  <c r="I173" i="4"/>
  <c r="H173" i="4"/>
  <c r="F173" i="4"/>
  <c r="L172" i="4"/>
  <c r="I172" i="4"/>
  <c r="H172" i="4"/>
  <c r="F172" i="4"/>
  <c r="L171" i="4"/>
  <c r="I171" i="4"/>
  <c r="H171" i="4"/>
  <c r="F171" i="4"/>
  <c r="L170" i="4"/>
  <c r="I170" i="4"/>
  <c r="H170" i="4"/>
  <c r="F170" i="4"/>
  <c r="M166" i="4"/>
  <c r="H166" i="4"/>
  <c r="H161" i="4"/>
  <c r="F161" i="4"/>
  <c r="L160" i="4"/>
  <c r="H160" i="4"/>
  <c r="F160" i="4"/>
  <c r="K159" i="4"/>
  <c r="L159" i="4" s="1"/>
  <c r="I159" i="4"/>
  <c r="H159" i="4"/>
  <c r="F159" i="4"/>
  <c r="K158" i="4"/>
  <c r="L158" i="4" s="1"/>
  <c r="I158" i="4"/>
  <c r="H158" i="4"/>
  <c r="F158" i="4"/>
  <c r="K157" i="4"/>
  <c r="L157" i="4" s="1"/>
  <c r="I157" i="4"/>
  <c r="H157" i="4"/>
  <c r="F157" i="4"/>
  <c r="K156" i="4"/>
  <c r="L156" i="4" s="1"/>
  <c r="I156" i="4"/>
  <c r="H156" i="4"/>
  <c r="F156" i="4"/>
  <c r="L155" i="4"/>
  <c r="K155" i="4"/>
  <c r="I155" i="4"/>
  <c r="H155" i="4"/>
  <c r="F155" i="4"/>
  <c r="K154" i="4"/>
  <c r="L154" i="4" s="1"/>
  <c r="I154" i="4"/>
  <c r="H154" i="4"/>
  <c r="F154" i="4"/>
  <c r="K153" i="4"/>
  <c r="L153" i="4" s="1"/>
  <c r="I153" i="4"/>
  <c r="H153" i="4"/>
  <c r="F153" i="4"/>
  <c r="K152" i="4"/>
  <c r="L152" i="4" s="1"/>
  <c r="I152" i="4"/>
  <c r="H152" i="4"/>
  <c r="F152" i="4"/>
  <c r="K151" i="4"/>
  <c r="L151" i="4" s="1"/>
  <c r="I151" i="4"/>
  <c r="H151" i="4"/>
  <c r="F151" i="4"/>
  <c r="K150" i="4"/>
  <c r="L150" i="4" s="1"/>
  <c r="I150" i="4"/>
  <c r="H150" i="4"/>
  <c r="F150" i="4"/>
  <c r="K149" i="4"/>
  <c r="L149" i="4" s="1"/>
  <c r="I149" i="4"/>
  <c r="H149" i="4"/>
  <c r="F149" i="4"/>
  <c r="K148" i="4"/>
  <c r="L148" i="4" s="1"/>
  <c r="I148" i="4"/>
  <c r="H148" i="4"/>
  <c r="F148" i="4"/>
  <c r="K147" i="4"/>
  <c r="L147" i="4" s="1"/>
  <c r="I147" i="4"/>
  <c r="H147" i="4"/>
  <c r="F147" i="4"/>
  <c r="K146" i="4"/>
  <c r="L146" i="4" s="1"/>
  <c r="I146" i="4"/>
  <c r="H146" i="4"/>
  <c r="F146" i="4"/>
  <c r="K145" i="4"/>
  <c r="L145" i="4" s="1"/>
  <c r="I145" i="4"/>
  <c r="H145" i="4"/>
  <c r="F145" i="4"/>
  <c r="K144" i="4"/>
  <c r="L144" i="4" s="1"/>
  <c r="I144" i="4"/>
  <c r="H144" i="4"/>
  <c r="F144" i="4"/>
  <c r="K143" i="4"/>
  <c r="L143" i="4" s="1"/>
  <c r="I143" i="4"/>
  <c r="H143" i="4"/>
  <c r="F143" i="4"/>
  <c r="L142" i="4"/>
  <c r="I142" i="4"/>
  <c r="H142" i="4"/>
  <c r="F142" i="4"/>
  <c r="L141" i="4"/>
  <c r="I141" i="4"/>
  <c r="H141" i="4"/>
  <c r="F141" i="4"/>
  <c r="K140" i="4"/>
  <c r="L140" i="4" s="1"/>
  <c r="I140" i="4"/>
  <c r="H140" i="4"/>
  <c r="F140" i="4"/>
  <c r="L139" i="4"/>
  <c r="I139" i="4"/>
  <c r="H139" i="4"/>
  <c r="F139" i="4"/>
  <c r="L138" i="4"/>
  <c r="I138" i="4"/>
  <c r="H138" i="4"/>
  <c r="F138" i="4"/>
  <c r="L137" i="4"/>
  <c r="I137" i="4"/>
  <c r="H137" i="4"/>
  <c r="F137" i="4"/>
  <c r="L136" i="4"/>
  <c r="I136" i="4"/>
  <c r="H136" i="4"/>
  <c r="F136" i="4"/>
  <c r="L135" i="4"/>
  <c r="I135" i="4"/>
  <c r="H135" i="4"/>
  <c r="F135" i="4"/>
  <c r="K134" i="4"/>
  <c r="L134" i="4" s="1"/>
  <c r="I134" i="4"/>
  <c r="H134" i="4"/>
  <c r="F134" i="4"/>
  <c r="K133" i="4"/>
  <c r="L133" i="4" s="1"/>
  <c r="I133" i="4"/>
  <c r="H133" i="4"/>
  <c r="F133" i="4"/>
  <c r="L132" i="4"/>
  <c r="I132" i="4"/>
  <c r="H132" i="4"/>
  <c r="F132" i="4"/>
  <c r="L131" i="4"/>
  <c r="I131" i="4"/>
  <c r="H131" i="4"/>
  <c r="F131" i="4"/>
  <c r="L130" i="4"/>
  <c r="I130" i="4"/>
  <c r="H130" i="4"/>
  <c r="F130" i="4"/>
  <c r="L129" i="4"/>
  <c r="I129" i="4"/>
  <c r="H129" i="4"/>
  <c r="F129" i="4"/>
  <c r="L128" i="4"/>
  <c r="I128" i="4"/>
  <c r="H128" i="4"/>
  <c r="F128" i="4"/>
  <c r="K127" i="4"/>
  <c r="L127" i="4" s="1"/>
  <c r="I127" i="4"/>
  <c r="H127" i="4"/>
  <c r="F127" i="4"/>
  <c r="L126" i="4"/>
  <c r="I126" i="4"/>
  <c r="H126" i="4"/>
  <c r="F126" i="4"/>
  <c r="K125" i="4"/>
  <c r="L125" i="4" s="1"/>
  <c r="I125" i="4"/>
  <c r="H125" i="4"/>
  <c r="F125" i="4"/>
  <c r="K124" i="4"/>
  <c r="L124" i="4" s="1"/>
  <c r="I124" i="4"/>
  <c r="H124" i="4"/>
  <c r="F124" i="4"/>
  <c r="K123" i="4"/>
  <c r="L123" i="4" s="1"/>
  <c r="I123" i="4"/>
  <c r="H123" i="4"/>
  <c r="F123" i="4"/>
  <c r="K122" i="4"/>
  <c r="L122" i="4" s="1"/>
  <c r="I122" i="4"/>
  <c r="H122" i="4"/>
  <c r="F122" i="4"/>
  <c r="L121" i="4"/>
  <c r="I121" i="4"/>
  <c r="H121" i="4"/>
  <c r="F121" i="4"/>
  <c r="L120" i="4"/>
  <c r="I120" i="4"/>
  <c r="H120" i="4"/>
  <c r="F120" i="4"/>
  <c r="K119" i="4"/>
  <c r="L119" i="4" s="1"/>
  <c r="I119" i="4"/>
  <c r="H119" i="4"/>
  <c r="F119" i="4"/>
  <c r="K118" i="4"/>
  <c r="L118" i="4" s="1"/>
  <c r="I118" i="4"/>
  <c r="H118" i="4"/>
  <c r="F118" i="4"/>
  <c r="K117" i="4"/>
  <c r="L117" i="4" s="1"/>
  <c r="I117" i="4"/>
  <c r="H117" i="4"/>
  <c r="F117" i="4"/>
  <c r="L116" i="4"/>
  <c r="I116" i="4"/>
  <c r="H116" i="4"/>
  <c r="F116" i="4"/>
  <c r="L115" i="4"/>
  <c r="I115" i="4"/>
  <c r="H115" i="4"/>
  <c r="F115" i="4"/>
  <c r="K114" i="4"/>
  <c r="L114" i="4" s="1"/>
  <c r="I114" i="4"/>
  <c r="H114" i="4"/>
  <c r="F114" i="4"/>
  <c r="L113" i="4"/>
  <c r="I113" i="4"/>
  <c r="H113" i="4"/>
  <c r="F113" i="4"/>
  <c r="L112" i="4"/>
  <c r="I112" i="4"/>
  <c r="H112" i="4"/>
  <c r="F112" i="4"/>
  <c r="L111" i="4"/>
  <c r="I111" i="4"/>
  <c r="H111" i="4"/>
  <c r="F111" i="4"/>
  <c r="K110" i="4"/>
  <c r="L110" i="4" s="1"/>
  <c r="I110" i="4"/>
  <c r="H110" i="4"/>
  <c r="F110" i="4"/>
  <c r="L109" i="4"/>
  <c r="I109" i="4"/>
  <c r="H109" i="4"/>
  <c r="F109" i="4"/>
  <c r="L108" i="4"/>
  <c r="I108" i="4"/>
  <c r="H108" i="4"/>
  <c r="F108" i="4"/>
  <c r="K107" i="4"/>
  <c r="L107" i="4" s="1"/>
  <c r="I107" i="4"/>
  <c r="H107" i="4"/>
  <c r="F107" i="4"/>
  <c r="L106" i="4"/>
  <c r="I106" i="4"/>
  <c r="H106" i="4"/>
  <c r="F106" i="4"/>
  <c r="L105" i="4"/>
  <c r="I105" i="4"/>
  <c r="H105" i="4"/>
  <c r="F105" i="4"/>
  <c r="L104" i="4"/>
  <c r="I104" i="4"/>
  <c r="H104" i="4"/>
  <c r="F104" i="4"/>
  <c r="L103" i="4"/>
  <c r="I103" i="4"/>
  <c r="H103" i="4"/>
  <c r="F103" i="4"/>
  <c r="K102" i="4"/>
  <c r="L102" i="4" s="1"/>
  <c r="I102" i="4"/>
  <c r="H102" i="4"/>
  <c r="F102" i="4"/>
  <c r="K101" i="4"/>
  <c r="L101" i="4" s="1"/>
  <c r="I101" i="4"/>
  <c r="H101" i="4"/>
  <c r="F101" i="4"/>
  <c r="L100" i="4"/>
  <c r="I100" i="4"/>
  <c r="H100" i="4"/>
  <c r="F100" i="4"/>
  <c r="K99" i="4"/>
  <c r="L99" i="4" s="1"/>
  <c r="I99" i="4"/>
  <c r="H99" i="4"/>
  <c r="F99" i="4"/>
  <c r="K98" i="4"/>
  <c r="L98" i="4" s="1"/>
  <c r="I98" i="4"/>
  <c r="H98" i="4"/>
  <c r="F98" i="4"/>
  <c r="K97" i="4"/>
  <c r="L97" i="4" s="1"/>
  <c r="I97" i="4"/>
  <c r="H97" i="4"/>
  <c r="F97" i="4"/>
  <c r="K96" i="4"/>
  <c r="L96" i="4" s="1"/>
  <c r="I96" i="4"/>
  <c r="H96" i="4"/>
  <c r="F96" i="4"/>
  <c r="K95" i="4"/>
  <c r="L95" i="4" s="1"/>
  <c r="I95" i="4"/>
  <c r="H95" i="4"/>
  <c r="F95" i="4"/>
  <c r="K94" i="4"/>
  <c r="L94" i="4" s="1"/>
  <c r="I94" i="4"/>
  <c r="H94" i="4"/>
  <c r="F94" i="4"/>
  <c r="K93" i="4"/>
  <c r="L93" i="4" s="1"/>
  <c r="I93" i="4"/>
  <c r="H93" i="4"/>
  <c r="F93" i="4"/>
  <c r="K92" i="4"/>
  <c r="L92" i="4" s="1"/>
  <c r="I92" i="4"/>
  <c r="H92" i="4"/>
  <c r="F92" i="4"/>
  <c r="K91" i="4"/>
  <c r="L91" i="4" s="1"/>
  <c r="I91" i="4"/>
  <c r="H91" i="4"/>
  <c r="F91" i="4"/>
  <c r="K90" i="4"/>
  <c r="L90" i="4" s="1"/>
  <c r="I90" i="4"/>
  <c r="H90" i="4"/>
  <c r="F90" i="4"/>
  <c r="K89" i="4"/>
  <c r="L89" i="4" s="1"/>
  <c r="I89" i="4"/>
  <c r="H89" i="4"/>
  <c r="F89" i="4"/>
  <c r="K88" i="4"/>
  <c r="L88" i="4" s="1"/>
  <c r="I88" i="4"/>
  <c r="H88" i="4"/>
  <c r="F88" i="4"/>
  <c r="K87" i="4"/>
  <c r="L87" i="4" s="1"/>
  <c r="I87" i="4"/>
  <c r="H87" i="4"/>
  <c r="F87" i="4"/>
  <c r="K86" i="4"/>
  <c r="L86" i="4" s="1"/>
  <c r="I86" i="4"/>
  <c r="H86" i="4"/>
  <c r="F86" i="4"/>
  <c r="L85" i="4"/>
  <c r="I85" i="4"/>
  <c r="H85" i="4"/>
  <c r="F85" i="4"/>
  <c r="K84" i="4"/>
  <c r="L84" i="4" s="1"/>
  <c r="I84" i="4"/>
  <c r="H84" i="4"/>
  <c r="F84" i="4"/>
  <c r="K83" i="4"/>
  <c r="L83" i="4" s="1"/>
  <c r="I83" i="4"/>
  <c r="H83" i="4"/>
  <c r="F83" i="4"/>
  <c r="K82" i="4"/>
  <c r="L82" i="4" s="1"/>
  <c r="I82" i="4"/>
  <c r="H82" i="4"/>
  <c r="F82" i="4"/>
  <c r="L81" i="4"/>
  <c r="I81" i="4"/>
  <c r="H81" i="4"/>
  <c r="F81" i="4"/>
  <c r="K80" i="4"/>
  <c r="L80" i="4" s="1"/>
  <c r="I80" i="4"/>
  <c r="H80" i="4"/>
  <c r="F80" i="4"/>
  <c r="K79" i="4"/>
  <c r="L79" i="4" s="1"/>
  <c r="I79" i="4"/>
  <c r="H79" i="4"/>
  <c r="F79" i="4"/>
  <c r="K78" i="4"/>
  <c r="L78" i="4" s="1"/>
  <c r="I78" i="4"/>
  <c r="H78" i="4"/>
  <c r="F78" i="4"/>
  <c r="K77" i="4"/>
  <c r="L77" i="4" s="1"/>
  <c r="I77" i="4"/>
  <c r="H77" i="4"/>
  <c r="F77" i="4"/>
  <c r="K76" i="4"/>
  <c r="L76" i="4" s="1"/>
  <c r="I76" i="4"/>
  <c r="H76" i="4"/>
  <c r="F76" i="4"/>
  <c r="K75" i="4"/>
  <c r="L75" i="4" s="1"/>
  <c r="I75" i="4"/>
  <c r="H75" i="4"/>
  <c r="F75" i="4"/>
  <c r="K74" i="4"/>
  <c r="L74" i="4" s="1"/>
  <c r="I74" i="4"/>
  <c r="H74" i="4"/>
  <c r="F74" i="4"/>
  <c r="K73" i="4"/>
  <c r="L73" i="4" s="1"/>
  <c r="I73" i="4"/>
  <c r="H73" i="4"/>
  <c r="F73" i="4"/>
  <c r="K72" i="4"/>
  <c r="L72" i="4" s="1"/>
  <c r="I72" i="4"/>
  <c r="H72" i="4"/>
  <c r="F72" i="4"/>
  <c r="K71" i="4"/>
  <c r="L71" i="4" s="1"/>
  <c r="I71" i="4"/>
  <c r="H71" i="4"/>
  <c r="F71" i="4"/>
  <c r="K70" i="4"/>
  <c r="L70" i="4" s="1"/>
  <c r="I70" i="4"/>
  <c r="H70" i="4"/>
  <c r="F70" i="4"/>
  <c r="K69" i="4"/>
  <c r="L69" i="4" s="1"/>
  <c r="I69" i="4"/>
  <c r="H69" i="4"/>
  <c r="F69" i="4"/>
  <c r="K68" i="4"/>
  <c r="L68" i="4" s="1"/>
  <c r="I68" i="4"/>
  <c r="H68" i="4"/>
  <c r="F68" i="4"/>
  <c r="K67" i="4"/>
  <c r="L67" i="4" s="1"/>
  <c r="I67" i="4"/>
  <c r="H67" i="4"/>
  <c r="F67" i="4"/>
  <c r="K66" i="4"/>
  <c r="L66" i="4" s="1"/>
  <c r="I66" i="4"/>
  <c r="H66" i="4"/>
  <c r="F66" i="4"/>
  <c r="K65" i="4"/>
  <c r="L65" i="4" s="1"/>
  <c r="I65" i="4"/>
  <c r="H65" i="4"/>
  <c r="F65" i="4"/>
  <c r="K64" i="4"/>
  <c r="L64" i="4" s="1"/>
  <c r="I64" i="4"/>
  <c r="H64" i="4"/>
  <c r="F64" i="4"/>
  <c r="L63" i="4"/>
  <c r="I63" i="4"/>
  <c r="H63" i="4"/>
  <c r="F63" i="4"/>
  <c r="L62" i="4"/>
  <c r="I62" i="4"/>
  <c r="H62" i="4"/>
  <c r="F62" i="4"/>
  <c r="L61" i="4"/>
  <c r="I61" i="4"/>
  <c r="H61" i="4"/>
  <c r="F61" i="4"/>
  <c r="L60" i="4"/>
  <c r="I60" i="4"/>
  <c r="H60" i="4"/>
  <c r="F60" i="4"/>
  <c r="K59" i="4"/>
  <c r="L59" i="4" s="1"/>
  <c r="I59" i="4"/>
  <c r="H59" i="4"/>
  <c r="F59" i="4"/>
  <c r="K58" i="4"/>
  <c r="L58" i="4" s="1"/>
  <c r="I58" i="4"/>
  <c r="H58" i="4"/>
  <c r="F58" i="4"/>
  <c r="K57" i="4"/>
  <c r="L57" i="4" s="1"/>
  <c r="I57" i="4"/>
  <c r="H57" i="4"/>
  <c r="F57" i="4"/>
  <c r="L56" i="4"/>
  <c r="I56" i="4"/>
  <c r="H56" i="4"/>
  <c r="F56" i="4"/>
  <c r="K55" i="4"/>
  <c r="L55" i="4" s="1"/>
  <c r="I55" i="4"/>
  <c r="H55" i="4"/>
  <c r="F55" i="4"/>
  <c r="L54" i="4"/>
  <c r="I54" i="4"/>
  <c r="H54" i="4"/>
  <c r="F54" i="4"/>
  <c r="L53" i="4"/>
  <c r="I53" i="4"/>
  <c r="H53" i="4"/>
  <c r="F53" i="4"/>
  <c r="L52" i="4"/>
  <c r="I52" i="4"/>
  <c r="H52" i="4"/>
  <c r="F52" i="4"/>
  <c r="K51" i="4"/>
  <c r="L51" i="4" s="1"/>
  <c r="I51" i="4"/>
  <c r="H51" i="4"/>
  <c r="F51" i="4"/>
  <c r="L50" i="4"/>
  <c r="I50" i="4"/>
  <c r="H50" i="4"/>
  <c r="F50" i="4"/>
  <c r="L49" i="4"/>
  <c r="I49" i="4"/>
  <c r="H49" i="4"/>
  <c r="F49" i="4"/>
  <c r="K48" i="4"/>
  <c r="L48" i="4" s="1"/>
  <c r="I48" i="4"/>
  <c r="H48" i="4"/>
  <c r="F48" i="4"/>
  <c r="L47" i="4"/>
  <c r="I47" i="4"/>
  <c r="H47" i="4"/>
  <c r="F47" i="4"/>
  <c r="K46" i="4"/>
  <c r="L46" i="4" s="1"/>
  <c r="I46" i="4"/>
  <c r="H46" i="4"/>
  <c r="F46" i="4"/>
  <c r="L45" i="4"/>
  <c r="K45" i="4"/>
  <c r="I45" i="4"/>
  <c r="H45" i="4"/>
  <c r="F45" i="4"/>
  <c r="K44" i="4"/>
  <c r="L44" i="4" s="1"/>
  <c r="I44" i="4"/>
  <c r="H44" i="4"/>
  <c r="F44" i="4"/>
  <c r="K43" i="4"/>
  <c r="L43" i="4" s="1"/>
  <c r="I43" i="4"/>
  <c r="H43" i="4"/>
  <c r="F43" i="4"/>
  <c r="K42" i="4"/>
  <c r="L42" i="4" s="1"/>
  <c r="I42" i="4"/>
  <c r="H42" i="4"/>
  <c r="F42" i="4"/>
  <c r="K41" i="4"/>
  <c r="L41" i="4" s="1"/>
  <c r="I41" i="4"/>
  <c r="H41" i="4"/>
  <c r="F41" i="4"/>
  <c r="K40" i="4"/>
  <c r="L40" i="4" s="1"/>
  <c r="I40" i="4"/>
  <c r="H40" i="4"/>
  <c r="F40" i="4"/>
  <c r="K39" i="4"/>
  <c r="L39" i="4" s="1"/>
  <c r="I39" i="4"/>
  <c r="H39" i="4"/>
  <c r="F39" i="4"/>
  <c r="K38" i="4"/>
  <c r="L38" i="4" s="1"/>
  <c r="I38" i="4"/>
  <c r="H38" i="4"/>
  <c r="F38" i="4"/>
  <c r="K37" i="4"/>
  <c r="L37" i="4" s="1"/>
  <c r="I37" i="4"/>
  <c r="H37" i="4"/>
  <c r="F37" i="4"/>
  <c r="L36" i="4"/>
  <c r="I36" i="4"/>
  <c r="H36" i="4"/>
  <c r="F36" i="4"/>
  <c r="K35" i="4"/>
  <c r="L35" i="4" s="1"/>
  <c r="I35" i="4"/>
  <c r="H35" i="4"/>
  <c r="F35" i="4"/>
  <c r="K34" i="4"/>
  <c r="L34" i="4" s="1"/>
  <c r="I34" i="4"/>
  <c r="H34" i="4"/>
  <c r="F34" i="4"/>
  <c r="L33" i="4"/>
  <c r="I33" i="4"/>
  <c r="H33" i="4"/>
  <c r="F33" i="4"/>
  <c r="L32" i="4"/>
  <c r="I32" i="4"/>
  <c r="H32" i="4"/>
  <c r="F32" i="4"/>
  <c r="L31" i="4"/>
  <c r="I31" i="4"/>
  <c r="H31" i="4"/>
  <c r="F31" i="4"/>
  <c r="L30" i="4"/>
  <c r="I30" i="4"/>
  <c r="H30" i="4"/>
  <c r="F30" i="4"/>
  <c r="K29" i="4"/>
  <c r="L29" i="4" s="1"/>
  <c r="I29" i="4"/>
  <c r="H29" i="4"/>
  <c r="F29" i="4"/>
  <c r="L28" i="4"/>
  <c r="I28" i="4"/>
  <c r="H28" i="4"/>
  <c r="F28" i="4"/>
  <c r="K27" i="4"/>
  <c r="L27" i="4" s="1"/>
  <c r="I27" i="4"/>
  <c r="H27" i="4"/>
  <c r="F27" i="4"/>
  <c r="L26" i="4"/>
  <c r="I26" i="4"/>
  <c r="H26" i="4"/>
  <c r="F26" i="4"/>
  <c r="L25" i="4"/>
  <c r="I25" i="4"/>
  <c r="H25" i="4"/>
  <c r="F25" i="4"/>
  <c r="L24" i="4"/>
  <c r="I24" i="4"/>
  <c r="H24" i="4"/>
  <c r="F24" i="4"/>
  <c r="K23" i="4"/>
  <c r="L23" i="4" s="1"/>
  <c r="I23" i="4"/>
  <c r="H23" i="4"/>
  <c r="F23" i="4"/>
  <c r="L22" i="4"/>
  <c r="I22" i="4"/>
  <c r="H22" i="4"/>
  <c r="F22" i="4"/>
  <c r="K21" i="4"/>
  <c r="L21" i="4" s="1"/>
  <c r="I21" i="4"/>
  <c r="H21" i="4"/>
  <c r="F21" i="4"/>
  <c r="L20" i="4"/>
  <c r="I20" i="4"/>
  <c r="H20" i="4"/>
  <c r="F20" i="4"/>
  <c r="K19" i="4"/>
  <c r="L19" i="4" s="1"/>
  <c r="I19" i="4"/>
  <c r="H19" i="4"/>
  <c r="F19" i="4"/>
  <c r="H291" i="2" l="1"/>
  <c r="F291" i="2"/>
  <c r="H290" i="2"/>
  <c r="F290" i="2"/>
  <c r="H289" i="2"/>
  <c r="F289" i="2"/>
  <c r="H288" i="2"/>
  <c r="F288" i="2"/>
  <c r="M287" i="2"/>
  <c r="H287" i="2"/>
  <c r="F287" i="2"/>
  <c r="H286" i="2"/>
  <c r="F286" i="2"/>
  <c r="M285" i="2"/>
  <c r="H285" i="2"/>
  <c r="F285" i="2"/>
  <c r="M284" i="2"/>
  <c r="H284" i="2"/>
  <c r="F284" i="2"/>
  <c r="M283" i="2"/>
  <c r="H283" i="2"/>
  <c r="F283" i="2"/>
  <c r="H282" i="2"/>
  <c r="F282" i="2"/>
  <c r="M281" i="2"/>
  <c r="H281" i="2"/>
  <c r="F281" i="2"/>
  <c r="H280" i="2"/>
  <c r="F280" i="2"/>
  <c r="F279" i="2"/>
  <c r="H278" i="2"/>
  <c r="F278" i="2"/>
  <c r="H277" i="2"/>
  <c r="F277" i="2"/>
  <c r="H276" i="2"/>
  <c r="F276" i="2"/>
  <c r="H275" i="2"/>
  <c r="F275" i="2"/>
  <c r="H274" i="2"/>
  <c r="F274" i="2"/>
  <c r="M273" i="2"/>
  <c r="H273" i="2"/>
  <c r="F273" i="2"/>
  <c r="M272" i="2"/>
  <c r="H272" i="2"/>
  <c r="F272" i="2"/>
  <c r="H271" i="2"/>
  <c r="F271" i="2"/>
  <c r="M270" i="2"/>
  <c r="H270" i="2"/>
  <c r="F270" i="2"/>
  <c r="H266" i="2"/>
  <c r="F266" i="2"/>
  <c r="M265" i="2"/>
  <c r="H265" i="2"/>
  <c r="F265" i="2"/>
  <c r="H264" i="2"/>
  <c r="F264" i="2"/>
  <c r="H263" i="2"/>
  <c r="F263" i="2"/>
  <c r="H262" i="2"/>
  <c r="F262" i="2"/>
  <c r="H261" i="2"/>
  <c r="F261" i="2"/>
  <c r="M260" i="2"/>
  <c r="H260" i="2"/>
  <c r="F260" i="2"/>
  <c r="M259" i="2"/>
  <c r="H259" i="2"/>
  <c r="F259" i="2"/>
  <c r="M258" i="2"/>
  <c r="H258" i="2"/>
  <c r="F258" i="2"/>
  <c r="H257" i="2"/>
  <c r="F257" i="2"/>
  <c r="M256" i="2"/>
  <c r="H256" i="2"/>
  <c r="F256" i="2"/>
  <c r="I255" i="2"/>
  <c r="H255" i="2"/>
  <c r="F255" i="2"/>
  <c r="M254" i="2"/>
  <c r="I254" i="2"/>
  <c r="H254" i="2"/>
  <c r="F254" i="2"/>
  <c r="M253" i="2"/>
  <c r="I253" i="2"/>
  <c r="H253" i="2"/>
  <c r="F253" i="2"/>
  <c r="I252" i="2"/>
  <c r="H252" i="2"/>
  <c r="F252" i="2"/>
  <c r="M251" i="2"/>
  <c r="I251" i="2"/>
  <c r="H251" i="2"/>
  <c r="F251" i="2"/>
  <c r="I250" i="2"/>
  <c r="H250" i="2"/>
  <c r="F250" i="2"/>
  <c r="I249" i="2"/>
  <c r="H249" i="2"/>
  <c r="F249" i="2"/>
  <c r="M248" i="2"/>
  <c r="I248" i="2"/>
  <c r="H248" i="2"/>
  <c r="F248" i="2"/>
  <c r="M247" i="2"/>
  <c r="I247" i="2"/>
  <c r="H247" i="2"/>
  <c r="F247" i="2"/>
  <c r="I246" i="2"/>
  <c r="H246" i="2"/>
  <c r="F246" i="2"/>
  <c r="M245" i="2"/>
  <c r="I245" i="2"/>
  <c r="H245" i="2"/>
  <c r="F245" i="2"/>
  <c r="I244" i="2"/>
  <c r="H244" i="2"/>
  <c r="F244" i="2"/>
  <c r="M243" i="2"/>
  <c r="I243" i="2"/>
  <c r="H243" i="2"/>
  <c r="F243" i="2"/>
  <c r="I242" i="2"/>
  <c r="H242" i="2"/>
  <c r="F242" i="2"/>
  <c r="M241" i="2"/>
  <c r="I241" i="2"/>
  <c r="H241" i="2"/>
  <c r="F241" i="2"/>
  <c r="M240" i="2"/>
  <c r="I240" i="2"/>
  <c r="H240" i="2"/>
  <c r="F240" i="2"/>
  <c r="M239" i="2"/>
  <c r="I239" i="2"/>
  <c r="H239" i="2"/>
  <c r="F239" i="2"/>
  <c r="M238" i="2"/>
  <c r="I238" i="2"/>
  <c r="H238" i="2"/>
  <c r="F238" i="2"/>
  <c r="M237" i="2"/>
  <c r="I237" i="2"/>
  <c r="H237" i="2"/>
  <c r="F237" i="2"/>
  <c r="I236" i="2"/>
  <c r="H236" i="2"/>
  <c r="F236" i="2"/>
  <c r="M235" i="2"/>
  <c r="I235" i="2"/>
  <c r="H235" i="2"/>
  <c r="F235" i="2"/>
  <c r="M234" i="2"/>
  <c r="I234" i="2"/>
  <c r="H234" i="2"/>
  <c r="F234" i="2"/>
  <c r="I233" i="2"/>
  <c r="H233" i="2"/>
  <c r="F233" i="2"/>
  <c r="I232" i="2"/>
  <c r="H232" i="2"/>
  <c r="F232" i="2"/>
  <c r="I231" i="2"/>
  <c r="H231" i="2"/>
  <c r="F231" i="2"/>
  <c r="I230" i="2"/>
  <c r="H230" i="2"/>
  <c r="F230" i="2"/>
  <c r="I229" i="2"/>
  <c r="H229" i="2"/>
  <c r="F229" i="2"/>
  <c r="I228" i="2"/>
  <c r="H228" i="2"/>
  <c r="F228" i="2"/>
  <c r="M227" i="2"/>
  <c r="I227" i="2"/>
  <c r="H227" i="2"/>
  <c r="F227" i="2"/>
  <c r="M226" i="2"/>
  <c r="I226" i="2"/>
  <c r="H226" i="2"/>
  <c r="F226" i="2"/>
  <c r="M225" i="2"/>
  <c r="I225" i="2"/>
  <c r="H225" i="2"/>
  <c r="F225" i="2"/>
  <c r="I224" i="2"/>
  <c r="H224" i="2"/>
  <c r="F224" i="2"/>
  <c r="M223" i="2"/>
  <c r="I223" i="2"/>
  <c r="H223" i="2"/>
  <c r="F223" i="2"/>
  <c r="I222" i="2"/>
  <c r="H222" i="2"/>
  <c r="F222" i="2"/>
  <c r="I221" i="2"/>
  <c r="H221" i="2"/>
  <c r="F221" i="2"/>
  <c r="I220" i="2"/>
  <c r="H220" i="2"/>
  <c r="F220" i="2"/>
  <c r="I219" i="2"/>
  <c r="H219" i="2"/>
  <c r="F219" i="2"/>
  <c r="I218" i="2"/>
  <c r="H218" i="2"/>
  <c r="F218" i="2"/>
  <c r="M217" i="2"/>
  <c r="I217" i="2"/>
  <c r="H217" i="2"/>
  <c r="F217" i="2"/>
  <c r="I216" i="2"/>
  <c r="H216" i="2"/>
  <c r="F216" i="2"/>
  <c r="I215" i="2"/>
  <c r="H215" i="2"/>
  <c r="F215" i="2"/>
  <c r="I214" i="2"/>
  <c r="H214" i="2"/>
  <c r="F214" i="2"/>
  <c r="I213" i="2"/>
  <c r="H213" i="2"/>
  <c r="F213" i="2"/>
  <c r="M212" i="2"/>
  <c r="I212" i="2"/>
  <c r="H212" i="2"/>
  <c r="F212" i="2"/>
  <c r="I211" i="2"/>
  <c r="H211" i="2"/>
  <c r="F211" i="2"/>
  <c r="I210" i="2"/>
  <c r="H210" i="2"/>
  <c r="F210" i="2"/>
  <c r="I209" i="2"/>
  <c r="H209" i="2"/>
  <c r="F209" i="2"/>
  <c r="I208" i="2"/>
  <c r="H208" i="2"/>
  <c r="F208" i="2"/>
  <c r="I207" i="2"/>
  <c r="H207" i="2"/>
  <c r="F207" i="2"/>
  <c r="H203" i="2"/>
  <c r="F203" i="2"/>
  <c r="H202" i="2"/>
  <c r="F202" i="2"/>
  <c r="M201" i="2"/>
  <c r="H201" i="2"/>
  <c r="F201" i="2"/>
  <c r="M200" i="2"/>
  <c r="H200" i="2"/>
  <c r="F200" i="2"/>
  <c r="M199" i="2"/>
  <c r="H199" i="2"/>
  <c r="F199" i="2"/>
  <c r="M198" i="2"/>
  <c r="H198" i="2"/>
  <c r="F198" i="2"/>
  <c r="I197" i="2"/>
  <c r="H197" i="2"/>
  <c r="F197" i="2"/>
  <c r="I196" i="2"/>
  <c r="H196" i="2"/>
  <c r="F196" i="2"/>
  <c r="I195" i="2"/>
  <c r="H195" i="2"/>
  <c r="F195" i="2"/>
  <c r="I194" i="2"/>
  <c r="H194" i="2"/>
  <c r="F194" i="2"/>
  <c r="M193" i="2"/>
  <c r="I193" i="2"/>
  <c r="H193" i="2"/>
  <c r="F193" i="2"/>
  <c r="M192" i="2"/>
  <c r="I192" i="2"/>
  <c r="H192" i="2"/>
  <c r="F192" i="2"/>
  <c r="I191" i="2"/>
  <c r="H191" i="2"/>
  <c r="F191" i="2"/>
  <c r="I190" i="2"/>
  <c r="H190" i="2"/>
  <c r="F190" i="2"/>
  <c r="M189" i="2"/>
  <c r="I189" i="2"/>
  <c r="H189" i="2"/>
  <c r="F189" i="2"/>
  <c r="M188" i="2"/>
  <c r="I188" i="2"/>
  <c r="H188" i="2"/>
  <c r="F188" i="2"/>
  <c r="I187" i="2"/>
  <c r="H187" i="2"/>
  <c r="F187" i="2"/>
  <c r="M186" i="2"/>
  <c r="I186" i="2"/>
  <c r="H186" i="2"/>
  <c r="F186" i="2"/>
  <c r="M185" i="2"/>
  <c r="I185" i="2"/>
  <c r="H185" i="2"/>
  <c r="F185" i="2"/>
  <c r="M184" i="2"/>
  <c r="I184" i="2"/>
  <c r="H184" i="2"/>
  <c r="F184" i="2"/>
  <c r="M183" i="2"/>
  <c r="I183" i="2"/>
  <c r="H183" i="2"/>
  <c r="F183" i="2"/>
  <c r="M182" i="2"/>
  <c r="I182" i="2"/>
  <c r="H182" i="2"/>
  <c r="F182" i="2"/>
  <c r="M181" i="2"/>
  <c r="I181" i="2"/>
  <c r="H181" i="2"/>
  <c r="F181" i="2"/>
  <c r="M180" i="2"/>
  <c r="I180" i="2"/>
  <c r="H180" i="2"/>
  <c r="F180" i="2"/>
  <c r="M179" i="2"/>
  <c r="I179" i="2"/>
  <c r="H179" i="2"/>
  <c r="F179" i="2"/>
  <c r="M178" i="2"/>
  <c r="I178" i="2"/>
  <c r="H178" i="2"/>
  <c r="F178" i="2"/>
  <c r="I177" i="2"/>
  <c r="H177" i="2"/>
  <c r="F177" i="2"/>
  <c r="I176" i="2"/>
  <c r="H176" i="2"/>
  <c r="F176" i="2"/>
  <c r="M175" i="2"/>
  <c r="I175" i="2"/>
  <c r="H175" i="2"/>
  <c r="F175" i="2"/>
  <c r="M174" i="2"/>
  <c r="I174" i="2"/>
  <c r="H174" i="2"/>
  <c r="F174" i="2"/>
  <c r="M173" i="2"/>
  <c r="I173" i="2"/>
  <c r="H173" i="2"/>
  <c r="F173" i="2"/>
  <c r="M172" i="2"/>
  <c r="I172" i="2"/>
  <c r="H172" i="2"/>
  <c r="F172" i="2"/>
  <c r="I171" i="2"/>
  <c r="H171" i="2"/>
  <c r="F171" i="2"/>
  <c r="M170" i="2"/>
  <c r="I170" i="2"/>
  <c r="H170" i="2"/>
  <c r="F170" i="2"/>
  <c r="I169" i="2"/>
  <c r="H169" i="2"/>
  <c r="F169" i="2"/>
  <c r="M168" i="2"/>
  <c r="I168" i="2"/>
  <c r="H168" i="2"/>
  <c r="F168" i="2"/>
  <c r="I167" i="2"/>
  <c r="H167" i="2"/>
  <c r="F167" i="2"/>
  <c r="M166" i="2"/>
  <c r="I166" i="2"/>
  <c r="H166" i="2"/>
  <c r="F166" i="2"/>
  <c r="M165" i="2"/>
  <c r="I165" i="2"/>
  <c r="H165" i="2"/>
  <c r="F165" i="2"/>
  <c r="M164" i="2"/>
  <c r="I164" i="2"/>
  <c r="H164" i="2"/>
  <c r="F164" i="2"/>
  <c r="M163" i="2"/>
  <c r="I163" i="2"/>
  <c r="H163" i="2"/>
  <c r="F163" i="2"/>
  <c r="I162" i="2"/>
  <c r="H162" i="2"/>
  <c r="F162" i="2"/>
  <c r="M161" i="2"/>
  <c r="I161" i="2"/>
  <c r="H161" i="2"/>
  <c r="F161" i="2"/>
  <c r="M160" i="2"/>
  <c r="I160" i="2"/>
  <c r="H160" i="2"/>
  <c r="F160" i="2"/>
  <c r="I159" i="2"/>
  <c r="H159" i="2"/>
  <c r="F159" i="2"/>
  <c r="M158" i="2"/>
  <c r="I158" i="2"/>
  <c r="H158" i="2"/>
  <c r="F158" i="2"/>
  <c r="M157" i="2"/>
  <c r="I157" i="2"/>
  <c r="H157" i="2"/>
  <c r="F157" i="2"/>
  <c r="I156" i="2"/>
  <c r="H156" i="2"/>
  <c r="F156" i="2"/>
  <c r="M155" i="2"/>
  <c r="I155" i="2"/>
  <c r="H155" i="2"/>
  <c r="F155" i="2"/>
  <c r="I154" i="2"/>
  <c r="H154" i="2"/>
  <c r="F154" i="2"/>
  <c r="M153" i="2"/>
  <c r="I153" i="2"/>
  <c r="H153" i="2"/>
  <c r="F153" i="2"/>
  <c r="M152" i="2"/>
  <c r="I152" i="2"/>
  <c r="H152" i="2"/>
  <c r="F152" i="2"/>
  <c r="I151" i="2"/>
  <c r="H151" i="2"/>
  <c r="F151" i="2"/>
  <c r="M150" i="2"/>
  <c r="I150" i="2"/>
  <c r="H150" i="2"/>
  <c r="F150" i="2"/>
  <c r="I149" i="2"/>
  <c r="H149" i="2"/>
  <c r="F149" i="2"/>
  <c r="M148" i="2"/>
  <c r="I148" i="2"/>
  <c r="H148" i="2"/>
  <c r="F148" i="2"/>
  <c r="M147" i="2"/>
  <c r="I147" i="2"/>
  <c r="H147" i="2"/>
  <c r="F147" i="2"/>
  <c r="I146" i="2"/>
  <c r="H146" i="2"/>
  <c r="F146" i="2"/>
  <c r="M145" i="2"/>
  <c r="I145" i="2"/>
  <c r="H145" i="2"/>
  <c r="F145" i="2"/>
  <c r="I144" i="2"/>
  <c r="H144" i="2"/>
  <c r="F144" i="2"/>
  <c r="I143" i="2"/>
  <c r="H143" i="2"/>
  <c r="F143" i="2"/>
  <c r="I142" i="2"/>
  <c r="H142" i="2"/>
  <c r="F142" i="2"/>
  <c r="I141" i="2"/>
  <c r="H141" i="2"/>
  <c r="F141" i="2"/>
  <c r="M140" i="2"/>
  <c r="I140" i="2"/>
  <c r="H140" i="2"/>
  <c r="F140" i="2"/>
  <c r="I139" i="2"/>
  <c r="H139" i="2"/>
  <c r="F139" i="2"/>
  <c r="H135" i="2"/>
  <c r="F135" i="2"/>
  <c r="I134" i="2"/>
  <c r="H134" i="2"/>
  <c r="F134" i="2"/>
  <c r="I133" i="2"/>
  <c r="H133" i="2"/>
  <c r="F133" i="2"/>
  <c r="I132" i="2"/>
  <c r="H132" i="2"/>
  <c r="F132" i="2"/>
  <c r="I131" i="2"/>
  <c r="H131" i="2"/>
  <c r="F131" i="2"/>
  <c r="I130" i="2"/>
  <c r="H130" i="2"/>
  <c r="F130" i="2"/>
  <c r="I129" i="2"/>
  <c r="H129" i="2"/>
  <c r="F129" i="2"/>
  <c r="I128" i="2"/>
  <c r="H128" i="2"/>
  <c r="F128" i="2"/>
  <c r="I127" i="2"/>
  <c r="H127" i="2"/>
  <c r="F127" i="2"/>
  <c r="I126" i="2"/>
  <c r="H126" i="2"/>
  <c r="F126" i="2"/>
  <c r="M125" i="2"/>
  <c r="I125" i="2"/>
  <c r="H125" i="2"/>
  <c r="F125" i="2"/>
  <c r="I124" i="2"/>
  <c r="H124" i="2"/>
  <c r="F124" i="2"/>
  <c r="M123" i="2"/>
  <c r="I123" i="2"/>
  <c r="H123" i="2"/>
  <c r="F123" i="2"/>
  <c r="I122" i="2"/>
  <c r="H122" i="2"/>
  <c r="F122" i="2"/>
  <c r="I121" i="2"/>
  <c r="H121" i="2"/>
  <c r="F121" i="2"/>
  <c r="I120" i="2"/>
  <c r="H120" i="2"/>
  <c r="F120" i="2"/>
  <c r="I119" i="2"/>
  <c r="H119" i="2"/>
  <c r="F119" i="2"/>
  <c r="I118" i="2"/>
  <c r="H118" i="2"/>
  <c r="F118" i="2"/>
  <c r="I117" i="2"/>
  <c r="H117" i="2"/>
  <c r="F117" i="2"/>
  <c r="I116" i="2"/>
  <c r="H116" i="2"/>
  <c r="F116" i="2"/>
  <c r="I115" i="2"/>
  <c r="H115" i="2"/>
  <c r="F115" i="2"/>
  <c r="I114" i="2"/>
  <c r="H114" i="2"/>
  <c r="F114" i="2"/>
  <c r="I113" i="2"/>
  <c r="H113" i="2"/>
  <c r="F113" i="2"/>
  <c r="I112" i="2"/>
  <c r="H112" i="2"/>
  <c r="F112" i="2"/>
  <c r="I111" i="2"/>
  <c r="H111" i="2"/>
  <c r="F111" i="2"/>
  <c r="I110" i="2"/>
  <c r="H110" i="2"/>
  <c r="F110" i="2"/>
  <c r="I109" i="2"/>
  <c r="H109" i="2"/>
  <c r="F109" i="2"/>
  <c r="I108" i="2"/>
  <c r="H108" i="2"/>
  <c r="F108" i="2"/>
  <c r="I107" i="2"/>
  <c r="H107" i="2"/>
  <c r="F107" i="2"/>
  <c r="M106" i="2"/>
  <c r="I106" i="2"/>
  <c r="H106" i="2"/>
  <c r="F106" i="2"/>
  <c r="M105" i="2"/>
  <c r="I105" i="2"/>
  <c r="H105" i="2"/>
  <c r="F105" i="2"/>
  <c r="I104" i="2"/>
  <c r="H104" i="2"/>
  <c r="F104" i="2"/>
  <c r="I103" i="2"/>
  <c r="H103" i="2"/>
  <c r="F103" i="2"/>
  <c r="I102" i="2"/>
  <c r="H102" i="2"/>
  <c r="F102" i="2"/>
  <c r="M101" i="2"/>
  <c r="I101" i="2"/>
  <c r="H101" i="2"/>
  <c r="F101" i="2"/>
  <c r="I100" i="2"/>
  <c r="H100" i="2"/>
  <c r="F100" i="2"/>
  <c r="M99" i="2"/>
  <c r="I99" i="2"/>
  <c r="H99" i="2"/>
  <c r="F99" i="2"/>
  <c r="I98" i="2"/>
  <c r="H98" i="2"/>
  <c r="F98" i="2"/>
  <c r="M97" i="2"/>
  <c r="I97" i="2"/>
  <c r="H97" i="2"/>
  <c r="F97" i="2"/>
  <c r="M96" i="2"/>
  <c r="I96" i="2"/>
  <c r="H96" i="2"/>
  <c r="F96" i="2"/>
  <c r="M95" i="2"/>
  <c r="I95" i="2"/>
  <c r="H95" i="2"/>
  <c r="F95" i="2"/>
  <c r="M94" i="2"/>
  <c r="I94" i="2"/>
  <c r="H94" i="2"/>
  <c r="F94" i="2"/>
  <c r="M93" i="2"/>
  <c r="I93" i="2"/>
  <c r="H93" i="2"/>
  <c r="F93" i="2"/>
  <c r="M92" i="2"/>
  <c r="I92" i="2"/>
  <c r="H92" i="2"/>
  <c r="F92" i="2"/>
  <c r="M91" i="2"/>
  <c r="I91" i="2"/>
  <c r="H91" i="2"/>
  <c r="F91" i="2"/>
  <c r="I90" i="2"/>
  <c r="H90" i="2"/>
  <c r="F90" i="2"/>
  <c r="M89" i="2"/>
  <c r="I89" i="2"/>
  <c r="H89" i="2"/>
  <c r="F89" i="2"/>
  <c r="I88" i="2"/>
  <c r="H88" i="2"/>
  <c r="F88" i="2"/>
  <c r="I87" i="2"/>
  <c r="H87" i="2"/>
  <c r="F87" i="2"/>
  <c r="I86" i="2"/>
  <c r="H86" i="2"/>
  <c r="F86" i="2"/>
  <c r="I85" i="2"/>
  <c r="H85" i="2"/>
  <c r="F85" i="2"/>
  <c r="M84" i="2"/>
  <c r="I84" i="2"/>
  <c r="H84" i="2"/>
  <c r="F84" i="2"/>
  <c r="I83" i="2"/>
  <c r="H83" i="2"/>
  <c r="F83" i="2"/>
  <c r="I82" i="2"/>
  <c r="H82" i="2"/>
  <c r="F82" i="2"/>
  <c r="M81" i="2"/>
  <c r="I81" i="2"/>
  <c r="H81" i="2"/>
  <c r="F81" i="2"/>
  <c r="M80" i="2"/>
  <c r="I80" i="2"/>
  <c r="H80" i="2"/>
  <c r="F80" i="2"/>
  <c r="M79" i="2"/>
  <c r="I79" i="2"/>
  <c r="H79" i="2"/>
  <c r="F79" i="2"/>
  <c r="M78" i="2"/>
  <c r="I78" i="2"/>
  <c r="H78" i="2"/>
  <c r="F78" i="2"/>
  <c r="I77" i="2"/>
  <c r="H77" i="2"/>
  <c r="F77" i="2"/>
  <c r="M76" i="2"/>
  <c r="I76" i="2"/>
  <c r="H76" i="2"/>
  <c r="F76" i="2"/>
  <c r="M75" i="2"/>
  <c r="I75" i="2"/>
  <c r="H75" i="2"/>
  <c r="F75" i="2"/>
  <c r="M74" i="2"/>
  <c r="I74" i="2"/>
  <c r="H74" i="2"/>
  <c r="F74" i="2"/>
  <c r="M73" i="2"/>
  <c r="I73" i="2"/>
  <c r="H73" i="2"/>
  <c r="F73" i="2"/>
  <c r="M72" i="2"/>
  <c r="I72" i="2"/>
  <c r="H72" i="2"/>
  <c r="F72" i="2"/>
  <c r="M71" i="2"/>
  <c r="I71" i="2"/>
  <c r="H71" i="2"/>
  <c r="F71" i="2"/>
  <c r="M70" i="2"/>
  <c r="I70" i="2"/>
  <c r="H70" i="2"/>
  <c r="F70" i="2"/>
  <c r="M69" i="2"/>
  <c r="I69" i="2"/>
  <c r="H69" i="2"/>
  <c r="F69" i="2"/>
  <c r="I68" i="2"/>
  <c r="H68" i="2"/>
  <c r="F68" i="2"/>
  <c r="M67" i="2"/>
  <c r="I67" i="2"/>
  <c r="H67" i="2"/>
  <c r="F67" i="2"/>
  <c r="I66" i="2"/>
  <c r="H66" i="2"/>
  <c r="F66" i="2"/>
  <c r="M65" i="2"/>
  <c r="I65" i="2"/>
  <c r="H65" i="2"/>
  <c r="F65" i="2"/>
  <c r="I64" i="2"/>
  <c r="H64" i="2"/>
  <c r="F64" i="2"/>
  <c r="M63" i="2"/>
  <c r="I63" i="2"/>
  <c r="H63" i="2"/>
  <c r="F63" i="2"/>
  <c r="I62" i="2"/>
  <c r="H62" i="2"/>
  <c r="F62" i="2"/>
  <c r="M61" i="2"/>
  <c r="I61" i="2"/>
  <c r="H61" i="2"/>
  <c r="F61" i="2"/>
  <c r="I60" i="2"/>
  <c r="H60" i="2"/>
  <c r="F60" i="2"/>
  <c r="M59" i="2"/>
  <c r="I59" i="2"/>
  <c r="H59" i="2"/>
  <c r="F59" i="2"/>
  <c r="M58" i="2"/>
  <c r="I58" i="2"/>
  <c r="H58" i="2"/>
  <c r="F58" i="2"/>
  <c r="I57" i="2"/>
  <c r="H57" i="2"/>
  <c r="F57" i="2"/>
  <c r="I56" i="2"/>
  <c r="H56" i="2"/>
  <c r="F56" i="2"/>
  <c r="I55" i="2"/>
  <c r="H55" i="2"/>
  <c r="F55" i="2"/>
  <c r="I54" i="2"/>
  <c r="H54" i="2"/>
  <c r="F54" i="2"/>
  <c r="M53" i="2"/>
  <c r="I53" i="2"/>
  <c r="H53" i="2"/>
  <c r="F53" i="2"/>
  <c r="M52" i="2"/>
  <c r="I52" i="2"/>
  <c r="H52" i="2"/>
  <c r="F52" i="2"/>
  <c r="M51" i="2"/>
  <c r="I51" i="2"/>
  <c r="H51" i="2"/>
  <c r="F51" i="2"/>
  <c r="M50" i="2"/>
  <c r="I50" i="2"/>
  <c r="H50" i="2"/>
  <c r="F50" i="2"/>
  <c r="I49" i="2"/>
  <c r="H49" i="2"/>
  <c r="F49" i="2"/>
  <c r="M48" i="2"/>
  <c r="I48" i="2"/>
  <c r="H48" i="2"/>
  <c r="F48" i="2"/>
  <c r="M47" i="2"/>
  <c r="I47" i="2"/>
  <c r="H47" i="2"/>
  <c r="F47" i="2"/>
  <c r="I46" i="2"/>
  <c r="H46" i="2"/>
  <c r="F46" i="2"/>
  <c r="I45" i="2"/>
  <c r="H45" i="2"/>
  <c r="F45" i="2"/>
  <c r="M44" i="2"/>
  <c r="I44" i="2"/>
  <c r="H44" i="2"/>
  <c r="F44" i="2"/>
  <c r="M43" i="2"/>
  <c r="I43" i="2"/>
  <c r="H43" i="2"/>
  <c r="F43" i="2"/>
  <c r="M42" i="2"/>
  <c r="I42" i="2"/>
  <c r="H42" i="2"/>
  <c r="F42" i="2"/>
  <c r="M41" i="2"/>
  <c r="I41" i="2"/>
  <c r="H41" i="2"/>
  <c r="F41" i="2"/>
  <c r="M40" i="2"/>
  <c r="I40" i="2"/>
  <c r="H40" i="2"/>
  <c r="F40" i="2"/>
  <c r="M39" i="2"/>
  <c r="I39" i="2"/>
  <c r="H39" i="2"/>
  <c r="F39" i="2"/>
  <c r="M38" i="2"/>
  <c r="I38" i="2"/>
  <c r="H38" i="2"/>
  <c r="F38" i="2"/>
  <c r="M37" i="2"/>
  <c r="I37" i="2"/>
  <c r="H37" i="2"/>
  <c r="F37" i="2"/>
  <c r="M36" i="2"/>
  <c r="I36" i="2"/>
  <c r="H36" i="2"/>
  <c r="F36" i="2"/>
  <c r="M35" i="2"/>
  <c r="I35" i="2"/>
  <c r="H35" i="2"/>
  <c r="F35" i="2"/>
  <c r="M34" i="2"/>
  <c r="I34" i="2"/>
  <c r="H34" i="2"/>
  <c r="F34" i="2"/>
  <c r="M33" i="2"/>
  <c r="I33" i="2"/>
  <c r="H33" i="2"/>
  <c r="F33" i="2"/>
  <c r="I32" i="2"/>
  <c r="H32" i="2"/>
  <c r="F32" i="2"/>
  <c r="M31" i="2"/>
  <c r="I31" i="2"/>
  <c r="H31" i="2"/>
  <c r="F31" i="2"/>
  <c r="M30" i="2"/>
  <c r="I30" i="2"/>
  <c r="H30" i="2"/>
  <c r="F30" i="2"/>
  <c r="M29" i="2"/>
  <c r="I29" i="2"/>
  <c r="H29" i="2"/>
  <c r="F29" i="2"/>
  <c r="I28" i="2"/>
  <c r="H28" i="2"/>
  <c r="F28" i="2"/>
  <c r="M27" i="2"/>
  <c r="I27" i="2"/>
  <c r="H27" i="2"/>
  <c r="F27" i="2"/>
  <c r="M26" i="2"/>
  <c r="I26" i="2"/>
  <c r="H26" i="2"/>
  <c r="F26" i="2"/>
  <c r="I25" i="2"/>
  <c r="H25" i="2"/>
  <c r="F25" i="2"/>
  <c r="M24" i="2"/>
  <c r="I24" i="2"/>
  <c r="H24" i="2"/>
  <c r="F24" i="2"/>
  <c r="I23" i="2"/>
  <c r="H23" i="2"/>
  <c r="F23" i="2"/>
  <c r="I22" i="2"/>
  <c r="H22" i="2"/>
  <c r="F22" i="2"/>
  <c r="M21" i="2"/>
  <c r="I21" i="2"/>
  <c r="H21" i="2"/>
  <c r="F21" i="2"/>
  <c r="I20" i="2"/>
  <c r="H20" i="2"/>
  <c r="F20" i="2"/>
  <c r="H279" i="2" l="1"/>
  <c r="M110" i="1" l="1"/>
  <c r="H110" i="1"/>
  <c r="F110" i="1"/>
  <c r="H109" i="1"/>
  <c r="F109" i="1"/>
  <c r="M108" i="1"/>
  <c r="H108" i="1"/>
  <c r="F108" i="1"/>
  <c r="H107" i="1"/>
  <c r="F107" i="1"/>
  <c r="H103" i="1"/>
  <c r="F103" i="1"/>
  <c r="H102" i="1"/>
  <c r="F102" i="1"/>
  <c r="M101" i="1"/>
  <c r="H101" i="1"/>
  <c r="F101" i="1"/>
  <c r="M100" i="1"/>
  <c r="H100" i="1"/>
  <c r="F100" i="1"/>
  <c r="H99" i="1"/>
  <c r="F99" i="1"/>
  <c r="H98" i="1"/>
  <c r="F98" i="1"/>
  <c r="M97" i="1"/>
  <c r="I97" i="1"/>
  <c r="H97" i="1"/>
  <c r="F97" i="1"/>
  <c r="M96" i="1"/>
  <c r="I96" i="1"/>
  <c r="H96" i="1"/>
  <c r="F96" i="1"/>
  <c r="M95" i="1"/>
  <c r="I95" i="1"/>
  <c r="H95" i="1"/>
  <c r="F95" i="1"/>
  <c r="M94" i="1"/>
  <c r="I94" i="1"/>
  <c r="H94" i="1"/>
  <c r="F94" i="1"/>
  <c r="M93" i="1"/>
  <c r="I93" i="1"/>
  <c r="H93" i="1"/>
  <c r="F93" i="1"/>
  <c r="M92" i="1"/>
  <c r="I92" i="1"/>
  <c r="H92" i="1"/>
  <c r="F92" i="1"/>
  <c r="M91" i="1"/>
  <c r="I91" i="1"/>
  <c r="H91" i="1"/>
  <c r="F91" i="1"/>
  <c r="M90" i="1"/>
  <c r="I90" i="1"/>
  <c r="H90" i="1"/>
  <c r="F90" i="1"/>
  <c r="M89" i="1"/>
  <c r="I89" i="1"/>
  <c r="H89" i="1"/>
  <c r="F89" i="1"/>
  <c r="M88" i="1"/>
  <c r="I88" i="1"/>
  <c r="H88" i="1"/>
  <c r="F88" i="1"/>
  <c r="M87" i="1"/>
  <c r="I87" i="1"/>
  <c r="H87" i="1"/>
  <c r="F87" i="1"/>
  <c r="M86" i="1"/>
  <c r="I86" i="1"/>
  <c r="H86" i="1"/>
  <c r="F86" i="1"/>
  <c r="M85" i="1"/>
  <c r="I85" i="1"/>
  <c r="H85" i="1"/>
  <c r="F85" i="1"/>
  <c r="M84" i="1"/>
  <c r="I84" i="1"/>
  <c r="H84" i="1"/>
  <c r="F84" i="1"/>
  <c r="M83" i="1"/>
  <c r="I83" i="1"/>
  <c r="H83" i="1"/>
  <c r="F83" i="1"/>
  <c r="M82" i="1"/>
  <c r="I82" i="1"/>
  <c r="H82" i="1"/>
  <c r="F82" i="1"/>
  <c r="M81" i="1"/>
  <c r="I81" i="1"/>
  <c r="H81" i="1"/>
  <c r="F81" i="1"/>
  <c r="L80" i="1"/>
  <c r="M80" i="1" s="1"/>
  <c r="I80" i="1"/>
  <c r="H80" i="1"/>
  <c r="F80" i="1"/>
  <c r="H76" i="1"/>
  <c r="F76" i="1"/>
  <c r="M75" i="1"/>
  <c r="I75" i="1"/>
  <c r="H75" i="1"/>
  <c r="F75" i="1"/>
  <c r="M74" i="1"/>
  <c r="I74" i="1"/>
  <c r="H74" i="1"/>
  <c r="F74" i="1"/>
  <c r="M73" i="1"/>
  <c r="I73" i="1"/>
  <c r="H73" i="1"/>
  <c r="F73" i="1"/>
  <c r="M72" i="1"/>
  <c r="I72" i="1"/>
  <c r="H72" i="1"/>
  <c r="F72" i="1"/>
  <c r="M71" i="1"/>
  <c r="I71" i="1"/>
  <c r="H71" i="1"/>
  <c r="F71" i="1"/>
  <c r="M70" i="1"/>
  <c r="I70" i="1"/>
  <c r="H70" i="1"/>
  <c r="F70" i="1"/>
  <c r="M69" i="1"/>
  <c r="I69" i="1"/>
  <c r="H69" i="1"/>
  <c r="F69" i="1"/>
  <c r="M68" i="1"/>
  <c r="I68" i="1"/>
  <c r="H68" i="1"/>
  <c r="F68" i="1"/>
  <c r="M67" i="1"/>
  <c r="I67" i="1"/>
  <c r="H67" i="1"/>
  <c r="F67" i="1"/>
  <c r="M66" i="1"/>
  <c r="I66" i="1"/>
  <c r="H66" i="1"/>
  <c r="F66" i="1"/>
  <c r="M65" i="1"/>
  <c r="I65" i="1"/>
  <c r="H65" i="1"/>
  <c r="F65" i="1"/>
  <c r="M61" i="1"/>
  <c r="I61" i="1"/>
  <c r="H61" i="1"/>
  <c r="F61" i="1"/>
  <c r="M60" i="1"/>
  <c r="I60" i="1"/>
  <c r="H60" i="1"/>
  <c r="F60" i="1"/>
  <c r="M59" i="1"/>
  <c r="I59" i="1"/>
  <c r="H59" i="1"/>
  <c r="F59" i="1"/>
  <c r="M58" i="1"/>
  <c r="I58" i="1"/>
  <c r="H58" i="1"/>
  <c r="F58" i="1"/>
  <c r="M57" i="1"/>
  <c r="I57" i="1"/>
  <c r="H57" i="1"/>
  <c r="F57" i="1"/>
  <c r="M56" i="1"/>
  <c r="I56" i="1"/>
  <c r="H56" i="1"/>
  <c r="F56" i="1"/>
  <c r="M55" i="1"/>
  <c r="I55" i="1"/>
  <c r="H55" i="1"/>
  <c r="F55" i="1"/>
  <c r="M54" i="1"/>
  <c r="I54" i="1"/>
  <c r="H54" i="1"/>
  <c r="F54" i="1"/>
  <c r="M53" i="1"/>
  <c r="I53" i="1"/>
  <c r="H53" i="1"/>
  <c r="F53" i="1"/>
  <c r="M52" i="1"/>
  <c r="I52" i="1"/>
  <c r="H52" i="1"/>
  <c r="F52" i="1"/>
  <c r="M51" i="1"/>
  <c r="I51" i="1"/>
  <c r="H51" i="1"/>
  <c r="F51" i="1"/>
  <c r="M50" i="1"/>
  <c r="I50" i="1"/>
  <c r="H50" i="1"/>
  <c r="F50" i="1"/>
  <c r="M49" i="1"/>
  <c r="I49" i="1"/>
  <c r="H49" i="1"/>
  <c r="F49" i="1"/>
  <c r="M48" i="1"/>
  <c r="I48" i="1"/>
  <c r="H48" i="1"/>
  <c r="F48" i="1"/>
  <c r="M47" i="1"/>
  <c r="I47" i="1"/>
  <c r="H47" i="1"/>
  <c r="F47" i="1"/>
  <c r="M46" i="1"/>
  <c r="I46" i="1"/>
  <c r="H46" i="1"/>
  <c r="F46" i="1"/>
  <c r="M45" i="1"/>
  <c r="I45" i="1"/>
  <c r="H45" i="1"/>
  <c r="F45" i="1"/>
  <c r="M44" i="1"/>
  <c r="I44" i="1"/>
  <c r="H44" i="1"/>
  <c r="F44" i="1"/>
  <c r="M43" i="1"/>
  <c r="I43" i="1"/>
  <c r="H43" i="1"/>
  <c r="F43" i="1"/>
  <c r="M42" i="1"/>
  <c r="I42" i="1"/>
  <c r="H42" i="1"/>
  <c r="F42" i="1"/>
  <c r="M41" i="1"/>
  <c r="I41" i="1"/>
  <c r="H41" i="1"/>
  <c r="F41" i="1"/>
  <c r="M40" i="1"/>
  <c r="I40" i="1"/>
  <c r="H40" i="1"/>
  <c r="F40" i="1"/>
  <c r="M39" i="1"/>
  <c r="I39" i="1"/>
  <c r="H39" i="1"/>
  <c r="F39" i="1"/>
  <c r="M38" i="1"/>
  <c r="I38" i="1"/>
  <c r="H38" i="1"/>
  <c r="F38" i="1"/>
  <c r="M37" i="1"/>
  <c r="I37" i="1"/>
  <c r="H37" i="1"/>
  <c r="F37" i="1"/>
  <c r="M36" i="1"/>
  <c r="I36" i="1"/>
  <c r="H36" i="1"/>
  <c r="F36" i="1"/>
  <c r="L35" i="1"/>
  <c r="M35" i="1" s="1"/>
  <c r="I35" i="1"/>
  <c r="H35" i="1"/>
  <c r="F35" i="1"/>
  <c r="M34" i="1"/>
  <c r="I34" i="1"/>
  <c r="H34" i="1"/>
  <c r="F34" i="1"/>
  <c r="M33" i="1"/>
  <c r="I33" i="1"/>
  <c r="H33" i="1"/>
  <c r="F33" i="1"/>
  <c r="M32" i="1"/>
  <c r="I32" i="1"/>
  <c r="H32" i="1"/>
  <c r="F32" i="1"/>
  <c r="M31" i="1"/>
  <c r="I31" i="1"/>
  <c r="H31" i="1"/>
  <c r="F31" i="1"/>
  <c r="L30" i="1"/>
  <c r="M30" i="1" s="1"/>
  <c r="I30" i="1"/>
  <c r="H30" i="1"/>
  <c r="F30" i="1"/>
  <c r="M29" i="1"/>
  <c r="I29" i="1"/>
  <c r="H29" i="1"/>
  <c r="F29" i="1"/>
  <c r="M28" i="1"/>
  <c r="I28" i="1"/>
  <c r="H28" i="1"/>
  <c r="F28" i="1"/>
  <c r="M27" i="1"/>
  <c r="I27" i="1"/>
  <c r="H27" i="1"/>
  <c r="F27" i="1"/>
  <c r="M26" i="1"/>
  <c r="I26" i="1"/>
  <c r="H26" i="1"/>
  <c r="F26" i="1"/>
  <c r="M25" i="1"/>
  <c r="I25" i="1"/>
  <c r="H25" i="1"/>
  <c r="F25" i="1"/>
  <c r="M24" i="1"/>
  <c r="I24" i="1"/>
  <c r="H24" i="1"/>
  <c r="F24" i="1"/>
  <c r="M23" i="1"/>
  <c r="I23" i="1"/>
  <c r="H23" i="1"/>
  <c r="F23" i="1"/>
  <c r="M22" i="1"/>
  <c r="I22" i="1"/>
  <c r="H22" i="1"/>
  <c r="F22" i="1"/>
  <c r="M21" i="1"/>
  <c r="I21" i="1"/>
  <c r="H21" i="1"/>
  <c r="F21" i="1"/>
  <c r="M20" i="1"/>
  <c r="I20" i="1"/>
  <c r="H20" i="1"/>
  <c r="F20" i="1"/>
  <c r="W2" i="1"/>
  <c r="V2" i="1"/>
  <c r="T2" i="1"/>
  <c r="S2" i="1"/>
</calcChain>
</file>

<file path=xl/sharedStrings.xml><?xml version="1.0" encoding="utf-8"?>
<sst xmlns="http://schemas.openxmlformats.org/spreadsheetml/2006/main" count="10151" uniqueCount="2945">
  <si>
    <t>RELACIÓN DE LOS MIEMBROS DE LAS FUERZAS ARMADAS, QUE SE LES SOLICITA SU RETIRO CON DISFRUTE DE PENSIÓN VOLUNTARIO, INHABILIDAD FÍSICA, CANCELACIÓN DE NOMBRAMIENTO Y DADO DE BAJA,  EN LA SESIÓN DEL PLENO CELEBRADO EN EL MES DE ENERO DEL AÑO 2024, CONFORME A LO ESTABLECIDO  EN LA LEY NO. 873 DEL 31/07/1978 Y LA NO.139-13 DEL 13 DE SEPTIEMBRE DEL AÑO 2013, LEY ORGÁNICA DE LAS FUERZAS ARMADAS.</t>
  </si>
  <si>
    <t>EJÉRCITO DE REPÚBLICA DOMINICANA</t>
  </si>
  <si>
    <t>SUMAS</t>
  </si>
  <si>
    <t>RESTA</t>
  </si>
  <si>
    <t>NO.</t>
  </si>
  <si>
    <t>FOTO</t>
  </si>
  <si>
    <t>RANGO</t>
  </si>
  <si>
    <t>NOMBRE</t>
  </si>
  <si>
    <t>CÉDULA</t>
  </si>
  <si>
    <t>TIEMPO EN SERVICIO ACTIVO</t>
  </si>
  <si>
    <t>%</t>
  </si>
  <si>
    <t>EDAD</t>
  </si>
  <si>
    <t>TIEMPO EN EL RANGO</t>
  </si>
  <si>
    <t>ASCENSO</t>
  </si>
  <si>
    <t>SUELDO BASE</t>
  </si>
  <si>
    <t>MONTO DE PENSIÓN</t>
  </si>
  <si>
    <t>NOTA</t>
  </si>
  <si>
    <t>CATEGORIA</t>
  </si>
  <si>
    <t>NO. RESOLUCION</t>
  </si>
  <si>
    <t>INGRESO</t>
  </si>
  <si>
    <t>SALIDA</t>
  </si>
  <si>
    <t>NACIO</t>
  </si>
  <si>
    <t>TRABAJADO POR</t>
  </si>
  <si>
    <t>ENVIADO A LEGA</t>
  </si>
  <si>
    <t>RESIBIDO DE LEGAL</t>
  </si>
  <si>
    <t>AÑO</t>
  </si>
  <si>
    <t>MES</t>
  </si>
  <si>
    <t xml:space="preserve">DIA </t>
  </si>
  <si>
    <t>DIA</t>
  </si>
  <si>
    <t xml:space="preserve"> CORONEL</t>
  </si>
  <si>
    <t xml:space="preserve">OBDULIO BIDO Y BIDO </t>
  </si>
  <si>
    <t>001-1202080-5</t>
  </si>
  <si>
    <t>MAS DE UN 50 %</t>
  </si>
  <si>
    <t>NO UTILIZABLE</t>
  </si>
  <si>
    <t>DR0050-2024</t>
  </si>
  <si>
    <t>padua</t>
  </si>
  <si>
    <t>E</t>
  </si>
  <si>
    <t>R</t>
  </si>
  <si>
    <t>*</t>
  </si>
  <si>
    <t>TENIENTE CORONEL</t>
  </si>
  <si>
    <t>BIENVENIDO  DIAZ VALDEZ</t>
  </si>
  <si>
    <t>001-1257319-1</t>
  </si>
  <si>
    <t>UTILIZABLE P/S. DE ARMAS</t>
  </si>
  <si>
    <t>DR0082-2024</t>
  </si>
  <si>
    <t>TENIENTE CORONEL DOCTOR EN ODONTOLOGÍA</t>
  </si>
  <si>
    <t>CARMEN ANA FAMILIA MARTINEZ</t>
  </si>
  <si>
    <t>001-1170690-9</t>
  </si>
  <si>
    <t>DR0098-2024</t>
  </si>
  <si>
    <t>JENNIFER</t>
  </si>
  <si>
    <t>MAYOR</t>
  </si>
  <si>
    <t>ARABELLY DEL C. LEON PERDOMO</t>
  </si>
  <si>
    <t>031-0247833-0</t>
  </si>
  <si>
    <t>DR0032-2024</t>
  </si>
  <si>
    <t>LUIS ALFONSO ACOSTA VALDEZ</t>
  </si>
  <si>
    <t>001-1188969-7</t>
  </si>
  <si>
    <t>DR0083-2024</t>
  </si>
  <si>
    <t>CAPITÁN</t>
  </si>
  <si>
    <t>ALBERTO  FLORIAN PEÑA</t>
  </si>
  <si>
    <t>022-0023576-6</t>
  </si>
  <si>
    <t>DR0033-2024</t>
  </si>
  <si>
    <t>SANTA YSABEL MOJICA ESPEJO</t>
  </si>
  <si>
    <t>001-1165459-6</t>
  </si>
  <si>
    <t>DR0084-2024</t>
  </si>
  <si>
    <t>**</t>
  </si>
  <si>
    <t>CESARIO GUILLERMO NOVAS PEÑA</t>
  </si>
  <si>
    <t>022-0023580-8</t>
  </si>
  <si>
    <t>DR0085-2024</t>
  </si>
  <si>
    <t>***</t>
  </si>
  <si>
    <t>ANGEL JUSTINO MONTERO ENCARNACION</t>
  </si>
  <si>
    <t>073-0012553-6</t>
  </si>
  <si>
    <t>DR0108-2024</t>
  </si>
  <si>
    <t>DIOGENES FELIZ REYES</t>
  </si>
  <si>
    <t>001-1171252-7</t>
  </si>
  <si>
    <t>DR0051-2024</t>
  </si>
  <si>
    <t>HILARIO RAMÍREZ PÉREZ</t>
  </si>
  <si>
    <t>011-0025450-5</t>
  </si>
  <si>
    <t>DR0052-2024</t>
  </si>
  <si>
    <t>EX - CAPITÁN</t>
  </si>
  <si>
    <t>GERTRUDIS SERRANO REYES</t>
  </si>
  <si>
    <t>001-0568688-5</t>
  </si>
  <si>
    <t>FALTAS DEBIDAMENTE COMPROVADAS POR JUNTA DE INV.</t>
  </si>
  <si>
    <t>DR0001-2024</t>
  </si>
  <si>
    <t>SANTOS PICHARDO GOMEZ</t>
  </si>
  <si>
    <t>056-0098990-8</t>
  </si>
  <si>
    <t>DR0002-2024</t>
  </si>
  <si>
    <t>RODOLFO  CONCEPCION AÑARCO</t>
  </si>
  <si>
    <t>138-0001156-4</t>
  </si>
  <si>
    <t>PRIMER TENIENTE</t>
  </si>
  <si>
    <t>RAFAEL D. SUAREZ LUCIANO</t>
  </si>
  <si>
    <t>001-1399744-9</t>
  </si>
  <si>
    <t>DR0034-2024</t>
  </si>
  <si>
    <t>ELVIS PEREZ FERNANDEZ</t>
  </si>
  <si>
    <t>018-0038103-8</t>
  </si>
  <si>
    <t>PRAXEDES FRANCISCO HERMON MADERA</t>
  </si>
  <si>
    <t>001-1167077-4</t>
  </si>
  <si>
    <t>DR0099-2024</t>
  </si>
  <si>
    <t>RUBIROSA  ACOSTA DE LEON</t>
  </si>
  <si>
    <t>001-1165671-6</t>
  </si>
  <si>
    <t>DR0086-2024</t>
  </si>
  <si>
    <t>OLGA JOSEFINA VERAS PEREZ</t>
  </si>
  <si>
    <t>001-1167300-0</t>
  </si>
  <si>
    <t>DR0087-2024</t>
  </si>
  <si>
    <t>ROGELIO MARTINEZ MOTA</t>
  </si>
  <si>
    <t>005-0032414-0</t>
  </si>
  <si>
    <t>DR0088-2024</t>
  </si>
  <si>
    <t>LUISA M. PERALTA PIÑA</t>
  </si>
  <si>
    <t>001-1495881-2</t>
  </si>
  <si>
    <t>DR0089-2024</t>
  </si>
  <si>
    <t>RAFAEL  CUEVAS PEREZ</t>
  </si>
  <si>
    <t>020-0011556-4</t>
  </si>
  <si>
    <t>DR0100-2024</t>
  </si>
  <si>
    <t xml:space="preserve">PRIMER TENIENTE </t>
  </si>
  <si>
    <t>ALFONSO SÁNCHEZ MERCEDES</t>
  </si>
  <si>
    <t>058-0023471-7</t>
  </si>
  <si>
    <t>DR0053-2024</t>
  </si>
  <si>
    <t>EUFEMIO SEVERINO FABIAN</t>
  </si>
  <si>
    <t>008-0021186-4</t>
  </si>
  <si>
    <t>DR0054-2024</t>
  </si>
  <si>
    <t>EX - PRIMER TENIENTE</t>
  </si>
  <si>
    <t>BERTILIO FLORENTINO VALENZUELA</t>
  </si>
  <si>
    <t>001-1508635-7</t>
  </si>
  <si>
    <t>DR0004-2024</t>
  </si>
  <si>
    <t>SEGUNDO TENIENTE</t>
  </si>
  <si>
    <t>JESÚS ENCARNACIÓN MONTERO</t>
  </si>
  <si>
    <t>075-0007561-4</t>
  </si>
  <si>
    <t>DR0055-2024</t>
  </si>
  <si>
    <t>HENRY ADALBERTO CORNIEL GARO</t>
  </si>
  <si>
    <t>018-0037262-3</t>
  </si>
  <si>
    <t>DR0126-2024</t>
  </si>
  <si>
    <t>BRITO</t>
  </si>
  <si>
    <t xml:space="preserve">EX - SEGUNDO TENIENTE </t>
  </si>
  <si>
    <t>KEYMI MATOS BATISTA</t>
  </si>
  <si>
    <t>018-0057345-1</t>
  </si>
  <si>
    <t>DR0006-2024</t>
  </si>
  <si>
    <t>perez</t>
  </si>
  <si>
    <t>FERNANDITO GOMEZ CASTILLO</t>
  </si>
  <si>
    <t>044-0014880-7</t>
  </si>
  <si>
    <t>DR0005-2024</t>
  </si>
  <si>
    <t>EDDY INOA RODRIGUEZ</t>
  </si>
  <si>
    <t>048-0066562-4</t>
  </si>
  <si>
    <t>DR0117-2024</t>
  </si>
  <si>
    <t>YURYS VILLA FLOR HERNANDEZ ENCARNACION</t>
  </si>
  <si>
    <t>023-0129678-2</t>
  </si>
  <si>
    <t>RENUNCIA ACEPTADA</t>
  </si>
  <si>
    <t>DR0043-2024</t>
  </si>
  <si>
    <t>SARGENTO MAYOR</t>
  </si>
  <si>
    <t>VICENTE GARCÍA</t>
  </si>
  <si>
    <t>016-0013629-3</t>
  </si>
  <si>
    <t>DR0056-2024</t>
  </si>
  <si>
    <t>EX - SARGENTO MAYOR</t>
  </si>
  <si>
    <t>JUAN J. ALVAREZ MOISES</t>
  </si>
  <si>
    <t>001-0474751-4</t>
  </si>
  <si>
    <t>DR0059-2024</t>
  </si>
  <si>
    <t>HUGO A. FLORIAN CUEVAS</t>
  </si>
  <si>
    <t>022-0024016-2</t>
  </si>
  <si>
    <t>DR0060-2024</t>
  </si>
  <si>
    <t xml:space="preserve">MANUEL JOSE HERNANDEZ </t>
  </si>
  <si>
    <t>003-0083585-7</t>
  </si>
  <si>
    <t>EXPIRACION DE ALISTAMIENTO Y NO REALISTO</t>
  </si>
  <si>
    <t>DR0061-2024</t>
  </si>
  <si>
    <t>AYDELIS PION BENGOA</t>
  </si>
  <si>
    <t>026-0022135-8</t>
  </si>
  <si>
    <t>DR0062-2024</t>
  </si>
  <si>
    <t>SERGIO ANT. GONZALEZ UREÑA</t>
  </si>
  <si>
    <t>049-0052349-1</t>
  </si>
  <si>
    <t>DR0063-2024</t>
  </si>
  <si>
    <t>GUILLERMO DIAZ ARIAS</t>
  </si>
  <si>
    <t>001-1578280-7</t>
  </si>
  <si>
    <t>DR0064-2024</t>
  </si>
  <si>
    <t>SANTO M. SOSA DURAN</t>
  </si>
  <si>
    <t>047-0154283-1</t>
  </si>
  <si>
    <t>DR0065-2024</t>
  </si>
  <si>
    <t xml:space="preserve">SARGENTO  </t>
  </si>
  <si>
    <t>CASTULO SORIANO CARMONA</t>
  </si>
  <si>
    <t>001-1270706-2</t>
  </si>
  <si>
    <t>DR0057-2024</t>
  </si>
  <si>
    <t>EX - SARGENTO</t>
  </si>
  <si>
    <t>EULALIO MEDINA MARTE</t>
  </si>
  <si>
    <t>065-0024251-3</t>
  </si>
  <si>
    <t>DR0066-2024</t>
  </si>
  <si>
    <t>RASO</t>
  </si>
  <si>
    <t>SAMUEL LORENZO PÉREZ</t>
  </si>
  <si>
    <t>044-0025772-3</t>
  </si>
  <si>
    <t>DR0058-2024</t>
  </si>
  <si>
    <t>ARMADA DE REPÚBLICA DOMINICANA</t>
  </si>
  <si>
    <t>NO. RES.</t>
  </si>
  <si>
    <t>CAPITÁN DE CORBETA</t>
  </si>
  <si>
    <t>ARTEMIS EUTERPE POLO MOLINA</t>
  </si>
  <si>
    <t>001-1179875-7</t>
  </si>
  <si>
    <t>DR0112-2024</t>
  </si>
  <si>
    <t>brito</t>
  </si>
  <si>
    <t>CAPITÁN DE CORBETA LICENCIADO EN CONTABILIDAD</t>
  </si>
  <si>
    <t>DOMINGO CANARIO CASTILLO</t>
  </si>
  <si>
    <t>001-1180740-0</t>
  </si>
  <si>
    <t>DR0107-2024</t>
  </si>
  <si>
    <t>TENIENTE DE NAVÍO</t>
  </si>
  <si>
    <t>MARIA ALTAGRACIA CABRERA ARIAS</t>
  </si>
  <si>
    <t>001-1223120-4</t>
  </si>
  <si>
    <t>DR0121-2024</t>
  </si>
  <si>
    <t>PAULINA NOLASCO ALCALA</t>
  </si>
  <si>
    <t>001-1179453-3</t>
  </si>
  <si>
    <t>DR0037-2023</t>
  </si>
  <si>
    <t>TENIENTE DE FRAGATA</t>
  </si>
  <si>
    <t>VERQUITA MARGARITA GONZÁLEZ CORONA</t>
  </si>
  <si>
    <t>001-1178733-9</t>
  </si>
  <si>
    <t>MAS DE UN 50%</t>
  </si>
  <si>
    <t>NO UTILIZBLE</t>
  </si>
  <si>
    <t>DR0114-2024</t>
  </si>
  <si>
    <t>EX - TENIENTE DE FRAGATA</t>
  </si>
  <si>
    <t>BERNARDINO GERALDO GERALDO</t>
  </si>
  <si>
    <t>012-0074375-3</t>
  </si>
  <si>
    <t>TENIENTE DE CORBETA</t>
  </si>
  <si>
    <t>AMAURIS REYES NOYOLA</t>
  </si>
  <si>
    <t>065-0002429-1</t>
  </si>
  <si>
    <t>DR0113-2024</t>
  </si>
  <si>
    <t>ANDRES RAMIREZ PEREZ</t>
  </si>
  <si>
    <t>106-0005876-1</t>
  </si>
  <si>
    <t>DR0116-2024</t>
  </si>
  <si>
    <t>EX - TENIENTE DE CORBETA</t>
  </si>
  <si>
    <t>LEONSA QUEVEDO PEREZ</t>
  </si>
  <si>
    <t>093-0049324-5</t>
  </si>
  <si>
    <t>DR0007-2024</t>
  </si>
  <si>
    <t>SARGENTO MAYOR (CO)</t>
  </si>
  <si>
    <t>FELITO ENCARNACIÓN MEDINA</t>
  </si>
  <si>
    <t>012-0071600-7</t>
  </si>
  <si>
    <t>DR0115-2024</t>
  </si>
  <si>
    <t>EX - CABO</t>
  </si>
  <si>
    <t>FELIX MIGUEL VASQUEZ BRITO</t>
  </si>
  <si>
    <t>001-1147747-7</t>
  </si>
  <si>
    <t>DR0008-2024</t>
  </si>
  <si>
    <t>EX - ASIMILADO MILITAR</t>
  </si>
  <si>
    <t>RODRIGO MONTERO VILLEGAS</t>
  </si>
  <si>
    <t>026-0042969-6</t>
  </si>
  <si>
    <t>DR0120-2024</t>
  </si>
  <si>
    <t>FUERZA AÉREA DE REPÚBLICA DOMINICANA</t>
  </si>
  <si>
    <t>CORONEL MÉDICO</t>
  </si>
  <si>
    <t>NESTOR BENJAMIN BELTRÉ RIVAS</t>
  </si>
  <si>
    <t>001-1178361-9</t>
  </si>
  <si>
    <t>DR0090-2024</t>
  </si>
  <si>
    <t xml:space="preserve">JOSE ANIBAL HERNANDEZ VALDEZ </t>
  </si>
  <si>
    <t>001-1176715-8</t>
  </si>
  <si>
    <t>DR0122-2024</t>
  </si>
  <si>
    <t xml:space="preserve">GRABIEL MEDINA ALCANTARA </t>
  </si>
  <si>
    <t>001-1173326-7</t>
  </si>
  <si>
    <t>DR0123-2024</t>
  </si>
  <si>
    <t xml:space="preserve">DANY JIMENEZ ISABEL </t>
  </si>
  <si>
    <t>001-1177007-9</t>
  </si>
  <si>
    <t>DR0106-2024</t>
  </si>
  <si>
    <t xml:space="preserve">DENINSON FACIORIS  MATOS MENDEZ </t>
  </si>
  <si>
    <t>001-1174033-8</t>
  </si>
  <si>
    <t>DR0124-2024</t>
  </si>
  <si>
    <t xml:space="preserve">MAYOR  </t>
  </si>
  <si>
    <t xml:space="preserve">JUAN SILVESTRE DE JESÚS LEYBA </t>
  </si>
  <si>
    <t>001-1177692-8</t>
  </si>
  <si>
    <t>DR0094-2024</t>
  </si>
  <si>
    <t>AGUSTIN DE LOS ÁNGELES MARTE</t>
  </si>
  <si>
    <t>001-1176218-3</t>
  </si>
  <si>
    <t>DR0091-2024</t>
  </si>
  <si>
    <t>EX - MAYOR</t>
  </si>
  <si>
    <t xml:space="preserve">MARBINA MARGARITA FELIZ RIVERA </t>
  </si>
  <si>
    <t>090-0012738-2</t>
  </si>
  <si>
    <t>DR0042-2024</t>
  </si>
  <si>
    <t xml:space="preserve">JUAN  CONTRERAS ZARZUELA </t>
  </si>
  <si>
    <t>001-1180855-6</t>
  </si>
  <si>
    <t>DR0125-2024</t>
  </si>
  <si>
    <t>JUANA M  MEJIA SANTOS</t>
  </si>
  <si>
    <t>001-1175183-0</t>
  </si>
  <si>
    <t>DR0109-2024</t>
  </si>
  <si>
    <t>PADUA</t>
  </si>
  <si>
    <t xml:space="preserve">ANA LUISA  HIDALGO MEJIA </t>
  </si>
  <si>
    <t>001-1176535-0</t>
  </si>
  <si>
    <t>DR0039-2024</t>
  </si>
  <si>
    <t xml:space="preserve">ANGEL  MONTES DE OCA RAMIREZ </t>
  </si>
  <si>
    <t>001-1176718-2</t>
  </si>
  <si>
    <t>DR0104-2024</t>
  </si>
  <si>
    <t>HECTOR MARTINEZ VARGAS</t>
  </si>
  <si>
    <t>044-0019760-6</t>
  </si>
  <si>
    <t>DR0127-2024</t>
  </si>
  <si>
    <t>FRANCIA DEL CARMEN BAEZ TINEO</t>
  </si>
  <si>
    <t>001-1176634-1</t>
  </si>
  <si>
    <t>DR0041-2024</t>
  </si>
  <si>
    <t xml:space="preserve">CARLOS CESAR SANTOS FELIZ </t>
  </si>
  <si>
    <t>001-0037996-5</t>
  </si>
  <si>
    <t>DR0040-2024</t>
  </si>
  <si>
    <t xml:space="preserve">DEIDANIA R. GALAN CRUZ </t>
  </si>
  <si>
    <t>001-1282956-9</t>
  </si>
  <si>
    <t>DR0038-2024</t>
  </si>
  <si>
    <t xml:space="preserve">ANA GERMANIA DE JESUS HENRIQUEZ ESTRELLA </t>
  </si>
  <si>
    <t>001-1141223-5</t>
  </si>
  <si>
    <t>DR0044-2024</t>
  </si>
  <si>
    <t xml:space="preserve">GERMANIA ALT.  FERNANDEZ BENJAMIN </t>
  </si>
  <si>
    <t>023-0023441-2</t>
  </si>
  <si>
    <t>DR0118-2024</t>
  </si>
  <si>
    <t>PEREZ</t>
  </si>
  <si>
    <t>****</t>
  </si>
  <si>
    <t>ASIMILADA MILITAR</t>
  </si>
  <si>
    <t xml:space="preserve">MARIA DE LA CRUZ  SUAREZ HIDALGO </t>
  </si>
  <si>
    <t>001-0853290-4</t>
  </si>
  <si>
    <t>UTILIZABLE P/S. QUE NO SEA DE ARMAS</t>
  </si>
  <si>
    <t>DR0119-2024</t>
  </si>
  <si>
    <t>ASIMILADO MILITAR</t>
  </si>
  <si>
    <t xml:space="preserve">RADHAMES GOMEZ URBAEZ </t>
  </si>
  <si>
    <t>223-0013563-3</t>
  </si>
  <si>
    <t>DR0110-2024</t>
  </si>
  <si>
    <t>ALTAGRACIA DEL C. FERNANDEZ DE HILARIO</t>
  </si>
  <si>
    <t>001-0633962-5</t>
  </si>
  <si>
    <t>DR0092-2024</t>
  </si>
  <si>
    <t>ESTHER M. PAULA DE MATEO</t>
  </si>
  <si>
    <t>022-0003358-3</t>
  </si>
  <si>
    <t>DR0093-2024</t>
  </si>
  <si>
    <t xml:space="preserve">ADRIANA MEDINA ROSARIO DE BUON </t>
  </si>
  <si>
    <t>001-1343548-1</t>
  </si>
  <si>
    <t>DR0045-2024</t>
  </si>
  <si>
    <t xml:space="preserve">BRUNILDA ALT. PEGUERO ZAPATA </t>
  </si>
  <si>
    <t>001-0633635-7</t>
  </si>
  <si>
    <t>DR0046-2024</t>
  </si>
  <si>
    <t>MINISTERIO DE DEFENSA</t>
  </si>
  <si>
    <t>TIEMPO RECONOCIDO</t>
  </si>
  <si>
    <t>CARLOS  A. VALLEJO  ALCANTARA</t>
  </si>
  <si>
    <t>001-1311130-6</t>
  </si>
  <si>
    <t>PARRAFO IV, ART. 155, LEY 139-13</t>
  </si>
  <si>
    <t>JUANA SOTO UREÑA</t>
  </si>
  <si>
    <t>001-0583711-6</t>
  </si>
  <si>
    <t>DR0096-2024</t>
  </si>
  <si>
    <t>MILEDYS MARMOLEJOS  DE CARVAJAL</t>
  </si>
  <si>
    <t>001-0149154-6</t>
  </si>
  <si>
    <t>DR0095-2024</t>
  </si>
  <si>
    <t>HARVIDH L. ARIAS SILVERIO</t>
  </si>
  <si>
    <t>001-1320906-8</t>
  </si>
  <si>
    <t>DR0009-2023</t>
  </si>
  <si>
    <t>JULIO CÉSAR A. HERNÁNDEZ OLIVERO</t>
  </si>
  <si>
    <t>Mayor General, ERD.</t>
  </si>
  <si>
    <t>Presidente de la Junta de Retiro y Fondo de Pensiones de las Fuerzas Armadas.</t>
  </si>
  <si>
    <t>HO/RP</t>
  </si>
  <si>
    <t>BT/Santiago</t>
  </si>
  <si>
    <t>MOTIVO</t>
  </si>
  <si>
    <t>VOLUNTARIO</t>
  </si>
  <si>
    <t>INHABILIDAD FÍSICA</t>
  </si>
  <si>
    <t>CANCELACION DE NOMBRAMIENTO</t>
  </si>
  <si>
    <t>DADO DE BAJA</t>
  </si>
  <si>
    <t>RELACIÓN DE LOS MIEMBROS DE LAS FUERZAS ARMADAS, QUE SE LES SOLICITA SU RETIRO CON DISFRUTE DE PENSIÓN VOLUNTARIO, INHABILIDAD FÍSICA, CANCELACIÓN DE NOMBRAMIENTO Y DADO DE BAJA,  EN LA SESIÓN DEL PLENO CELEBRADO EN EL MES DE FEBRERO DEL AÑO 2024, CONFORME A LO ESTABLECIDO  EN LA LEY NO. 873 DEL 31/07/1978 Y LA NO.139-13 DEL 13 DE SEPTIEMBRE DEL AÑO 2013, LEY ORGÁNICA DE LAS FUERZAS ARMADAS.</t>
  </si>
  <si>
    <t>CORONEL</t>
  </si>
  <si>
    <t>MILCIADES MEDINA AQUINO</t>
  </si>
  <si>
    <t>001-1180840-8</t>
  </si>
  <si>
    <t>JUAN FELIPE MEJIA LEYBA</t>
  </si>
  <si>
    <t>008-0021204-5</t>
  </si>
  <si>
    <t>EX - CORONEL</t>
  </si>
  <si>
    <t>RAFAEL BIENVENIDO COLLADO UREÑA</t>
  </si>
  <si>
    <t>031-0300559-5</t>
  </si>
  <si>
    <t>SERGIO SANTANA FIGUEREO</t>
  </si>
  <si>
    <t>023-0096186-5</t>
  </si>
  <si>
    <t>IVAN HUMBERTO MOREL BAEZ</t>
  </si>
  <si>
    <t>001-1168623-4</t>
  </si>
  <si>
    <t>DANIEL Y. VASQUEZ PERALTA</t>
  </si>
  <si>
    <t>001-1370065-2</t>
  </si>
  <si>
    <t>YODETO MONTERO MORA</t>
  </si>
  <si>
    <t>001-1166042-9</t>
  </si>
  <si>
    <t>ERASMO AMADO SANTANA CEPEDA</t>
  </si>
  <si>
    <t>001-1223286-3</t>
  </si>
  <si>
    <t>EX - TENIENTE CORONEL</t>
  </si>
  <si>
    <t>LEONER A. GUTIERREZ PUNTIER</t>
  </si>
  <si>
    <t>001-1170398-9</t>
  </si>
  <si>
    <t>ROBERTO FORTUNA GUZMAN</t>
  </si>
  <si>
    <t>001-1165570-0</t>
  </si>
  <si>
    <t>ALCIBIADES FAMILIA DIAZ</t>
  </si>
  <si>
    <t>001-1318949-2</t>
  </si>
  <si>
    <t xml:space="preserve">VICTOR MANUEL CABRERA </t>
  </si>
  <si>
    <t>001-1166521-2</t>
  </si>
  <si>
    <t>ISAAC  MIGUEL SANCHEZ</t>
  </si>
  <si>
    <t>001-1621491-7</t>
  </si>
  <si>
    <t>HENRY  MARQUEZ PASCUAL</t>
  </si>
  <si>
    <t>001-1166774-7</t>
  </si>
  <si>
    <t>MARCOS ANTONIO PEÑA FELIZ</t>
  </si>
  <si>
    <t>018-0046283-8</t>
  </si>
  <si>
    <t>MARIO G. MOREL DE LA CRUZ</t>
  </si>
  <si>
    <t>001-1171957-1</t>
  </si>
  <si>
    <t>SANTO TECO PEREYRA SORIANO</t>
  </si>
  <si>
    <t>001-1166306-8</t>
  </si>
  <si>
    <t>RAMON EMILIO ABREU MORONTA</t>
  </si>
  <si>
    <t>001-1172527-1</t>
  </si>
  <si>
    <t>BERNARDO LORENZO LEBRÓN</t>
  </si>
  <si>
    <t>001-1166890-1</t>
  </si>
  <si>
    <t>ERIS MONTERO Y MONTERO</t>
  </si>
  <si>
    <t>012-0070039-9</t>
  </si>
  <si>
    <t>JHONNY MONTERO Y MONTERO</t>
  </si>
  <si>
    <t>001-1171777-3</t>
  </si>
  <si>
    <t>CESAR AUGUSTO LEBRON QUEVEDO</t>
  </si>
  <si>
    <t>011-0025252-5</t>
  </si>
  <si>
    <t>PASCUAL GARIBALDI PEREZ HEREDIA</t>
  </si>
  <si>
    <t>020-0011555-6</t>
  </si>
  <si>
    <t>ROSARIO DE OLEO ENCARNACION</t>
  </si>
  <si>
    <t>001-1170000-1</t>
  </si>
  <si>
    <t>JORGE  GONELL MEDRANO</t>
  </si>
  <si>
    <t>045-0002460-1</t>
  </si>
  <si>
    <t xml:space="preserve">JUAN ANDRES AGUILERA </t>
  </si>
  <si>
    <t>046-0027887-5</t>
  </si>
  <si>
    <t>ADRIANO  CUEVAS BENITEZ</t>
  </si>
  <si>
    <t>070-0004299-9</t>
  </si>
  <si>
    <t>RAMON EDUARDO ROMERO SILVA</t>
  </si>
  <si>
    <t>001-1279197-5</t>
  </si>
  <si>
    <t>TOMAS PEREZ CEDANO</t>
  </si>
  <si>
    <t>012-0070036-5</t>
  </si>
  <si>
    <t>LUIS MANUEL GERMAN SANCHEZ</t>
  </si>
  <si>
    <t>059-0014369-3</t>
  </si>
  <si>
    <t>FELIX DE JESUS PICHARDO GENAO</t>
  </si>
  <si>
    <t>044-0016825-0</t>
  </si>
  <si>
    <t>JUAN M. CASTILLO ENCARNACION</t>
  </si>
  <si>
    <t>051-0003513-7</t>
  </si>
  <si>
    <t>GILBERTO VASQUEZ</t>
  </si>
  <si>
    <t>001-1171336-8</t>
  </si>
  <si>
    <t>CAPITAN</t>
  </si>
  <si>
    <t>FRANCISCO ANT. MARTINEZ SANCHEZ</t>
  </si>
  <si>
    <t>001-1172909-1</t>
  </si>
  <si>
    <t>JULIO ERNESTO ENCARNACION MONTERO</t>
  </si>
  <si>
    <t>110-0003785-0</t>
  </si>
  <si>
    <t>JAVIER  PEREZ VOLQUEZ</t>
  </si>
  <si>
    <t>016-0011015-7</t>
  </si>
  <si>
    <t>FERNANDO FELIZ Y FELIZ</t>
  </si>
  <si>
    <t>018-0048707-4</t>
  </si>
  <si>
    <t>ISRAEL B. PERALTA FELIZ</t>
  </si>
  <si>
    <t>001-1522243-2</t>
  </si>
  <si>
    <t>ROGEL CARVAJAL MATOS</t>
  </si>
  <si>
    <t>099-0002506-6</t>
  </si>
  <si>
    <t>JORGE ATHANAEL RODRÍGUEZ NÚÑEZ</t>
  </si>
  <si>
    <t>001-1369849-2</t>
  </si>
  <si>
    <t>RUBEN D. MATEO GARCIA</t>
  </si>
  <si>
    <t>001-0556803-4</t>
  </si>
  <si>
    <t>ERCIDA GREGORIA ENCARNACION PERALTA</t>
  </si>
  <si>
    <t>065-0023216-7</t>
  </si>
  <si>
    <t>ROBERTO  MOJICA ARAUJO</t>
  </si>
  <si>
    <t>001-1167108-7</t>
  </si>
  <si>
    <t>ANDRES  PEREZ VOLQUEZ</t>
  </si>
  <si>
    <t>020-0011617-4</t>
  </si>
  <si>
    <t>MIGUEL ANDRES ESTEBE RAMIREZ</t>
  </si>
  <si>
    <t>016-0011789-7</t>
  </si>
  <si>
    <t>SARNIN ISRAEL VASQUEZ TINEO</t>
  </si>
  <si>
    <t>001-1520515-5</t>
  </si>
  <si>
    <t>MARIA PATRICIA FLORENTINO TERRERO</t>
  </si>
  <si>
    <t>001-1166925-5</t>
  </si>
  <si>
    <t>KATIUSCA M. PEREZ GOMEZ</t>
  </si>
  <si>
    <t>001-1621638-3</t>
  </si>
  <si>
    <t>RAMON  ALCANTARA DICENT</t>
  </si>
  <si>
    <t>016-0010806-0</t>
  </si>
  <si>
    <t>HEINE NOEL BATISTA TREMOLS</t>
  </si>
  <si>
    <t>001-1193143-2</t>
  </si>
  <si>
    <t>SALOMON NERIS VARGAS</t>
  </si>
  <si>
    <t>051-0015667-7</t>
  </si>
  <si>
    <t>WENDY DANILO NOVAS MONTILLA</t>
  </si>
  <si>
    <t>022-0023549-3</t>
  </si>
  <si>
    <t>RAMON MESA CESPEDES</t>
  </si>
  <si>
    <t>076-0014785-9</t>
  </si>
  <si>
    <t>JULIAN DE LA ROSA FORTUNA</t>
  </si>
  <si>
    <t>001-1167518-7</t>
  </si>
  <si>
    <t>OSIRIS MONTERO FAMILIA</t>
  </si>
  <si>
    <t>001-1166808-3</t>
  </si>
  <si>
    <t>DENNI  MONTERO MORILLO</t>
  </si>
  <si>
    <t>011-0027004-8</t>
  </si>
  <si>
    <t>DOMINGO DE JESUS PAYANO</t>
  </si>
  <si>
    <t>001-1034842-2</t>
  </si>
  <si>
    <t>JOSELITO DIAZ BENITEZ</t>
  </si>
  <si>
    <t>011-0027386-9</t>
  </si>
  <si>
    <t>DOMINGO CORDERO TAPIA</t>
  </si>
  <si>
    <t>001-1168381-9</t>
  </si>
  <si>
    <t>CARMELO MARTÍNEZ</t>
  </si>
  <si>
    <t>001-1171774-0</t>
  </si>
  <si>
    <t xml:space="preserve">MARIO ALCIDES FELIZ </t>
  </si>
  <si>
    <t>001-1677068-6</t>
  </si>
  <si>
    <t>ANA LOYDA PEREZ GONZALEZ</t>
  </si>
  <si>
    <t>001-0095764-6</t>
  </si>
  <si>
    <t>ONESIMO CONTRERAS FAMILIA</t>
  </si>
  <si>
    <t>016-0010970-4</t>
  </si>
  <si>
    <t>ALEXANDER G. PEÑA ALCANTARA</t>
  </si>
  <si>
    <t>001-1167933-8</t>
  </si>
  <si>
    <t>LELIS MATOS CUEVAS</t>
  </si>
  <si>
    <t>018-0046330-7</t>
  </si>
  <si>
    <t>JUAN R. GONZALEZ DE LARA</t>
  </si>
  <si>
    <t>001-1119553-3</t>
  </si>
  <si>
    <t>ERNESTO LUGO ADAMES</t>
  </si>
  <si>
    <t>016-0010803-7</t>
  </si>
  <si>
    <t>GREGORIO DE LOS SANTOS ROSARIO</t>
  </si>
  <si>
    <t>001-1166004-9</t>
  </si>
  <si>
    <t>RAUL UBRI PERDOMO</t>
  </si>
  <si>
    <t>016-0013031-2</t>
  </si>
  <si>
    <t>FELIX PEREZ Y PEREZ</t>
  </si>
  <si>
    <t>002-0098290-8</t>
  </si>
  <si>
    <t>JONATHAN F. VILLEGAS CARIDAD</t>
  </si>
  <si>
    <t>028-0070623-2</t>
  </si>
  <si>
    <t>RODOLFO ALVIS PEÑA JIMENEZ</t>
  </si>
  <si>
    <t>020-0009003-1</t>
  </si>
  <si>
    <t>JOSE MANUEL RAMIREZ BOCIO</t>
  </si>
  <si>
    <t>073-0015622-6</t>
  </si>
  <si>
    <t>ANGEL E. SEGURA SENA</t>
  </si>
  <si>
    <t>078-0009458-8</t>
  </si>
  <si>
    <t>JOSE ANTONIO SOSA BELLO</t>
  </si>
  <si>
    <t>046-0027782-8</t>
  </si>
  <si>
    <t>FRANCIS CASTILLO FELIZ</t>
  </si>
  <si>
    <t>001-1332241-6</t>
  </si>
  <si>
    <t>WILLIAMS VICIOSO COLAS</t>
  </si>
  <si>
    <t>001-1121108-2</t>
  </si>
  <si>
    <t>FAUSTINO HERNANDEZ ABREU</t>
  </si>
  <si>
    <t>058-0023702-5</t>
  </si>
  <si>
    <t>JULIO C. CONTRERAS DE LOS SANTO</t>
  </si>
  <si>
    <t>005-0042668-9</t>
  </si>
  <si>
    <t>ROMMEL SANTIAGO CAMILO TAVAREZ</t>
  </si>
  <si>
    <t>001-0832778-4</t>
  </si>
  <si>
    <t>VIRGILIO CUEVAS MÉNDEZ</t>
  </si>
  <si>
    <t>001-1202282-7</t>
  </si>
  <si>
    <t>JUAN  RECIO SOLIS</t>
  </si>
  <si>
    <t>001-1169793-4</t>
  </si>
  <si>
    <t>NAHUM FAISAL JIMENEZ PEGUERO</t>
  </si>
  <si>
    <t>001-1705763-8</t>
  </si>
  <si>
    <t>MIGUEL ANGEL DE OLEO CUEVAS</t>
  </si>
  <si>
    <t>001-1227701-7</t>
  </si>
  <si>
    <t>MARQUITO MATEO CABRERA</t>
  </si>
  <si>
    <t>016-0014910-6</t>
  </si>
  <si>
    <t>FAUSTO N. RODRIGUEZ DISLA</t>
  </si>
  <si>
    <t>073-0006376-0</t>
  </si>
  <si>
    <t>OMAR S. BAUTISTA POLANCO</t>
  </si>
  <si>
    <t>001-1269265-2</t>
  </si>
  <si>
    <t>ADALGISA CORCINO NUÑEZ</t>
  </si>
  <si>
    <t>053-0003836-0</t>
  </si>
  <si>
    <t>CARLOS SANTANA GERALDO</t>
  </si>
  <si>
    <t>012-0082195-5</t>
  </si>
  <si>
    <t>CRISTIAN SANTIAGO GOMEZ FELIZ</t>
  </si>
  <si>
    <t>001-1445119-8</t>
  </si>
  <si>
    <t>ANTONIO VILLEGAS VENTURA</t>
  </si>
  <si>
    <t>129-0002415-4</t>
  </si>
  <si>
    <t>JEAN C. RODRIGUEZ SOLANO</t>
  </si>
  <si>
    <t>031-0416930-9</t>
  </si>
  <si>
    <t>MANUEL CUEVAS ROMAN</t>
  </si>
  <si>
    <t>022-0022775-5</t>
  </si>
  <si>
    <t>ELVY EMILIO RIVAS ROSARIO</t>
  </si>
  <si>
    <t>001-0578655-2</t>
  </si>
  <si>
    <t>EDUARDO MALDONADO BREA</t>
  </si>
  <si>
    <t>093-0040848-2</t>
  </si>
  <si>
    <t>JOSELITO REYES MORETA</t>
  </si>
  <si>
    <t>016-0016470-9</t>
  </si>
  <si>
    <t>RAFAEL  ALMONTE OSORIA</t>
  </si>
  <si>
    <t>001-1392139-9</t>
  </si>
  <si>
    <t>VIRGILIO  ROSARIO POLANCO</t>
  </si>
  <si>
    <t>001-0296562-1</t>
  </si>
  <si>
    <t>ASCENDO</t>
  </si>
  <si>
    <t>VICTOR ML. ROSARIO NOVAS</t>
  </si>
  <si>
    <t>077-0005565-5</t>
  </si>
  <si>
    <t>WILFREDO  PAEZ MORLA</t>
  </si>
  <si>
    <t>001-1700167-7</t>
  </si>
  <si>
    <t>PEDRO ANTONIO BAEZ MERAN</t>
  </si>
  <si>
    <t>001-1196580-2</t>
  </si>
  <si>
    <t>EDISON JULIO VERAS GERMAN</t>
  </si>
  <si>
    <t>001-1308924-7</t>
  </si>
  <si>
    <t>WANDY  CABRERA MONTES DE OCA</t>
  </si>
  <si>
    <t>093-0057782-3</t>
  </si>
  <si>
    <t>MIGUEL A. BAUTISTA VALDEZ</t>
  </si>
  <si>
    <t>001-1733508-3</t>
  </si>
  <si>
    <t>CECILIO DE LA CRUZ MIESES</t>
  </si>
  <si>
    <t>225-0010851-3</t>
  </si>
  <si>
    <t>GERONIMO EMILIO VALDEZ VALDEZ</t>
  </si>
  <si>
    <t>011-0033507-2</t>
  </si>
  <si>
    <t>JULIO CESAR SUERO MORA</t>
  </si>
  <si>
    <t>016-0015554-1</t>
  </si>
  <si>
    <t xml:space="preserve">JUAN PABLO CLETO </t>
  </si>
  <si>
    <t>059-0019063-7</t>
  </si>
  <si>
    <t>PEDRO MANUEL SANTANA TRINDAD</t>
  </si>
  <si>
    <t>077-0006133-1</t>
  </si>
  <si>
    <t>IVETTE Y. RODRIGUEZ FRANCISCO</t>
  </si>
  <si>
    <t>002-0138913-7</t>
  </si>
  <si>
    <t>XIOMARA REYES DIAZ</t>
  </si>
  <si>
    <t>001-1237001-0</t>
  </si>
  <si>
    <t>MICHAEL R. VERAS ESTRELLA</t>
  </si>
  <si>
    <t>001-1273627-7</t>
  </si>
  <si>
    <t>WILSON SABINO ALCANTARA</t>
  </si>
  <si>
    <t>001-0885426-6</t>
  </si>
  <si>
    <t>LUCIA E. VELOZ CABRAL</t>
  </si>
  <si>
    <t>001-1712808-2</t>
  </si>
  <si>
    <t>PETERSON PEREZ PEÑA</t>
  </si>
  <si>
    <t>020-0015181-7</t>
  </si>
  <si>
    <t>GILBERTO E. MORENO SANCHEZ</t>
  </si>
  <si>
    <t>008-0021189-8</t>
  </si>
  <si>
    <t>CAPITÁN DE NAVÍO</t>
  </si>
  <si>
    <t>ARSENIO ANTONIO SOTO SOTO</t>
  </si>
  <si>
    <t>001-1179999-5</t>
  </si>
  <si>
    <t>CAPITÁN DE FRAGATA</t>
  </si>
  <si>
    <t>CRISTINO REYES CASTILLO</t>
  </si>
  <si>
    <t>001-1257439-7</t>
  </si>
  <si>
    <t>SUNILDA  MENDOZA BRITO</t>
  </si>
  <si>
    <t>001-1179893-0</t>
  </si>
  <si>
    <t>NANCY MERCEDES ALGER LIBERATO</t>
  </si>
  <si>
    <t>001-1755832-0</t>
  </si>
  <si>
    <t>FRANCISCO HEREDIA HEREDIA</t>
  </si>
  <si>
    <t>001-1179910-2</t>
  </si>
  <si>
    <t>EX - CAPITAN DE FRAGATA</t>
  </si>
  <si>
    <t>MANUEL HEREDIA ROCHA</t>
  </si>
  <si>
    <t>020-0011627-3</t>
  </si>
  <si>
    <t>BORIS ANEURYS RODRIGUEZ UBIERA</t>
  </si>
  <si>
    <t>001-1153167-9</t>
  </si>
  <si>
    <t>DAVID  BUGUE AGRAMONTE</t>
  </si>
  <si>
    <t>001-1179752-8</t>
  </si>
  <si>
    <t>JOSE ANGEL VALDEZ MADE</t>
  </si>
  <si>
    <t>003-0065549-5</t>
  </si>
  <si>
    <t>NIXON MANUEL MARTINEZ JIMENEZ</t>
  </si>
  <si>
    <t>020-0011628-1</t>
  </si>
  <si>
    <t>FELIX  MARTINEZ DE LOS SANTOS</t>
  </si>
  <si>
    <t>005-0032191-4</t>
  </si>
  <si>
    <t>PORFIRIO JIMENEZ ROSARIO</t>
  </si>
  <si>
    <t>001-1193354-5</t>
  </si>
  <si>
    <t>GREISYS MERCEDES PEGUERO CRUZ</t>
  </si>
  <si>
    <t>073-0001194-2</t>
  </si>
  <si>
    <t>TENIENTE NAVIO</t>
  </si>
  <si>
    <t>LUIS ALBERTO ROSADO GENAO</t>
  </si>
  <si>
    <t>001-1648817-2</t>
  </si>
  <si>
    <t>JOHNNY LORENZO PERALTA MADURO</t>
  </si>
  <si>
    <t>001-1179908-6</t>
  </si>
  <si>
    <t>OSIDE  MORENO RAMIREZ</t>
  </si>
  <si>
    <t>001-1179849-2</t>
  </si>
  <si>
    <t>TENIENTE DE NAVIO</t>
  </si>
  <si>
    <t>VICENTE  MONTERO JAQUEZ</t>
  </si>
  <si>
    <t>016-0011180-9</t>
  </si>
  <si>
    <t>EX - TENIENTE DE NAVIO</t>
  </si>
  <si>
    <t>MARIO RAFAEL BRETON SANTANA</t>
  </si>
  <si>
    <t>031-0332152-1</t>
  </si>
  <si>
    <t>HINGINIO RADNEY KELLY</t>
  </si>
  <si>
    <t>001-1180610-5</t>
  </si>
  <si>
    <t>REYNALDO VIZCAINO ROMERO</t>
  </si>
  <si>
    <t>003-0078700-9</t>
  </si>
  <si>
    <t>ESCANIO  GARCIA GONZALEZ</t>
  </si>
  <si>
    <t>011-0024075-1</t>
  </si>
  <si>
    <t>HECTOR ROLANDO MEDINA SEGURA</t>
  </si>
  <si>
    <t>078-0002924-6</t>
  </si>
  <si>
    <t>JOSE MIGUEL SOLIS GOMEZ</t>
  </si>
  <si>
    <t>038-0001952-7</t>
  </si>
  <si>
    <t>MARTIREZ ROSARIO PEREZ</t>
  </si>
  <si>
    <t>020-0011072-2</t>
  </si>
  <si>
    <t>JOSE PAYANO MUÑOZ</t>
  </si>
  <si>
    <t>005-0031999-1</t>
  </si>
  <si>
    <t>RAFAEL MONTERO MONTERO</t>
  </si>
  <si>
    <t>012-0070083-7</t>
  </si>
  <si>
    <t>RAFAEL CUEVAS SEGURA</t>
  </si>
  <si>
    <t>001-1179969-8</t>
  </si>
  <si>
    <t>CARLOS J. MATOS PEREZ</t>
  </si>
  <si>
    <t>069-0006121-6</t>
  </si>
  <si>
    <t>ADOLFO FIGUEREO</t>
  </si>
  <si>
    <t>010-0072360-9</t>
  </si>
  <si>
    <t>ANGEL AUGUSTO MEDINA FERRERAS</t>
  </si>
  <si>
    <t>001-1180205-4</t>
  </si>
  <si>
    <t>JUAN FRIAS RODRIGUEZ</t>
  </si>
  <si>
    <t>001-1179142-2</t>
  </si>
  <si>
    <t>JUAN CARLOS PAULINO ENCARNACIÓN</t>
  </si>
  <si>
    <t>002-0105290-9</t>
  </si>
  <si>
    <t>CESAR RAMÍREZ MATEO</t>
  </si>
  <si>
    <t>001-1202638-0</t>
  </si>
  <si>
    <t xml:space="preserve">FREDDY CARMONA RAMIREZ </t>
  </si>
  <si>
    <t>003-0068709-2</t>
  </si>
  <si>
    <t>NILDID JOSEFINA PEREZ PEREZ</t>
  </si>
  <si>
    <t>001-0559475-8</t>
  </si>
  <si>
    <t>DIOMEDES ANIBAL DUME</t>
  </si>
  <si>
    <t>001-1202496-3</t>
  </si>
  <si>
    <t>ROSSI MARIBEL MEDRANO HEREDIA</t>
  </si>
  <si>
    <t>020-0007879-6</t>
  </si>
  <si>
    <t>MARIS FELIZ MORILLO</t>
  </si>
  <si>
    <t>001-1179574-6</t>
  </si>
  <si>
    <t>ANA YUDELKA REYES DE FERNANDEZ</t>
  </si>
  <si>
    <t>123-0013012-2</t>
  </si>
  <si>
    <t>SEBASTIAN GOMEZ ENCARNACION</t>
  </si>
  <si>
    <t>001-1180288-0</t>
  </si>
  <si>
    <t>ELVIS SANTOS FERNANDEZ MENA</t>
  </si>
  <si>
    <t>001-1180213-8</t>
  </si>
  <si>
    <t>JOSE MIGUEL FRIAS ENCARNACION</t>
  </si>
  <si>
    <t>001-1179555-5</t>
  </si>
  <si>
    <t>SANTO EUDI RUIZ TERRERO</t>
  </si>
  <si>
    <t>001-1169841-1</t>
  </si>
  <si>
    <t>JUAN MARIA CARVAJAL LARA</t>
  </si>
  <si>
    <t>003-0065519-8</t>
  </si>
  <si>
    <t>DANILO PEREZ MENDEZ</t>
  </si>
  <si>
    <t>012-0069292-7</t>
  </si>
  <si>
    <t>YUBERGUIN DE LOS SANTOS SANCHEZ</t>
  </si>
  <si>
    <t>069-0005971-5</t>
  </si>
  <si>
    <t>ALCIBIADES DÍAZ Y DÍAZ</t>
  </si>
  <si>
    <t>093-0047196-9</t>
  </si>
  <si>
    <t>RAFAEL ENCARNACION TRINIDAD</t>
  </si>
  <si>
    <t>014-0013292-2</t>
  </si>
  <si>
    <t>LEONIDES SEGURA PINEDA</t>
  </si>
  <si>
    <t>010-0089094-5</t>
  </si>
  <si>
    <t xml:space="preserve">TENIENTE DE CORBETA </t>
  </si>
  <si>
    <t>CRISTINO LARANCUENT ORTEGA</t>
  </si>
  <si>
    <t>001-1244891-5</t>
  </si>
  <si>
    <t>EDITA  MAÑON ORTIZ</t>
  </si>
  <si>
    <t>001-1090223-6</t>
  </si>
  <si>
    <t>JULIO CESAR MONTERO ENCARNACION</t>
  </si>
  <si>
    <t>001-1079042-5</t>
  </si>
  <si>
    <t>FRANCISCO ALB. MARTE MENDEZ</t>
  </si>
  <si>
    <t>010-0070082-1</t>
  </si>
  <si>
    <t>OSTERMAN MATOS MATOS</t>
  </si>
  <si>
    <t>010-0038944-3</t>
  </si>
  <si>
    <t>JULIANA DANIELA ARIAS ORTIZ</t>
  </si>
  <si>
    <t>001-1010217-5</t>
  </si>
  <si>
    <t>ROBERTO YUNIOR MATOS MARTE</t>
  </si>
  <si>
    <t>001-1202689-3</t>
  </si>
  <si>
    <t>ANGEL MARIA GONZALEZ JAZMIN</t>
  </si>
  <si>
    <t>223-0004423-1</t>
  </si>
  <si>
    <t>EX - SARGENTO MAYOR (CH)</t>
  </si>
  <si>
    <t>WANDERSON EMILIO CARRASCO ACOSTA</t>
  </si>
  <si>
    <t>001-1671439-5</t>
  </si>
  <si>
    <t>MARCOS TEJEDA RAMIREZ</t>
  </si>
  <si>
    <t>012-0070085-2</t>
  </si>
  <si>
    <t>MARINERO AUXILIAR</t>
  </si>
  <si>
    <t>JOSE ISIDRO AGUILERA PEREZ</t>
  </si>
  <si>
    <t>001-0070323-0</t>
  </si>
  <si>
    <t>JOSE SANTANA SANCHEZ</t>
  </si>
  <si>
    <t>001-0839810-8</t>
  </si>
  <si>
    <t>REGINO HEREDIA MARTES</t>
  </si>
  <si>
    <t>001-1202538-2</t>
  </si>
  <si>
    <t xml:space="preserve">ASIMILADO MILITAR </t>
  </si>
  <si>
    <t>DAIRA GARCIA VOLQUEZ</t>
  </si>
  <si>
    <t>020-0010382-6</t>
  </si>
  <si>
    <t>LLUDELIS ESPINAL DE OECKEL</t>
  </si>
  <si>
    <t>002-0086958-4</t>
  </si>
  <si>
    <t>SEVERINO DE JESUS BOURDIER PERALTA</t>
  </si>
  <si>
    <t>001-0010506-3</t>
  </si>
  <si>
    <t xml:space="preserve">MIGUEL APOLINAR ESPINAL REYES </t>
  </si>
  <si>
    <t>001-1174877-8</t>
  </si>
  <si>
    <t xml:space="preserve">ENRIQUE  CALZADO ROSARIO </t>
  </si>
  <si>
    <t>001-1178339-5</t>
  </si>
  <si>
    <t>HAROLD FERNANDO M ABREU TAVERAS</t>
  </si>
  <si>
    <t>001-1176834-7</t>
  </si>
  <si>
    <t xml:space="preserve">MIGUEL ANGEL ADAMES OVALLES </t>
  </si>
  <si>
    <t>001-1175579-9</t>
  </si>
  <si>
    <t xml:space="preserve">OCTAVIO ROMERO ENCARNACION </t>
  </si>
  <si>
    <t>001-1173896-9</t>
  </si>
  <si>
    <t xml:space="preserve">CARLOS SMELIN  SANQUINTIN BAEZ </t>
  </si>
  <si>
    <t>001-1033206-1</t>
  </si>
  <si>
    <t xml:space="preserve">CARLOS MANUEL PEGUERO SUAZO </t>
  </si>
  <si>
    <t>001-0903525-3</t>
  </si>
  <si>
    <t xml:space="preserve">ELIDO ANT. RODRIGUEZ MARTINEZ </t>
  </si>
  <si>
    <t>001-1176140-9</t>
  </si>
  <si>
    <t xml:space="preserve">DAMASO LORENZO PEREZ </t>
  </si>
  <si>
    <t>001-1175746-4</t>
  </si>
  <si>
    <t xml:space="preserve">JULIAN CASTILLO YCHEZ </t>
  </si>
  <si>
    <t>001-1173617-9</t>
  </si>
  <si>
    <t xml:space="preserve">IRIS J. DE LA  CRUZ OVALLES </t>
  </si>
  <si>
    <t>001-0523697-0</t>
  </si>
  <si>
    <t xml:space="preserve">FRANK CRUZ  CASTILLO SEVERINO </t>
  </si>
  <si>
    <t>001-1481349-6</t>
  </si>
  <si>
    <t xml:space="preserve">TOMAS  PANIAGUA ROSARIO </t>
  </si>
  <si>
    <t>001-1173262-4</t>
  </si>
  <si>
    <t>DAMARIS ALT. MARMOLEJOS ALMONTE</t>
  </si>
  <si>
    <t>001-1370365-6</t>
  </si>
  <si>
    <t xml:space="preserve">JOSE RAMON  ALMONTE MERCEDES </t>
  </si>
  <si>
    <t>001-1176071-6</t>
  </si>
  <si>
    <t>MIGUEL ANGEL GOMEZ</t>
  </si>
  <si>
    <t>001-1178309-8</t>
  </si>
  <si>
    <t xml:space="preserve">JULIO MUÑOZ DE PAULA </t>
  </si>
  <si>
    <t>001-1177038-4</t>
  </si>
  <si>
    <t xml:space="preserve">ALEXIS ANTONIO  JON FELIZ </t>
  </si>
  <si>
    <t>001-1696130-1</t>
  </si>
  <si>
    <t xml:space="preserve">ORLANDO EUSEBIO ROSARIO SERRANO </t>
  </si>
  <si>
    <t>001-1309720-8</t>
  </si>
  <si>
    <t>PASCUAL AGRAMONTE AYBAR</t>
  </si>
  <si>
    <t>001-1175859-5</t>
  </si>
  <si>
    <t>DANIEL RINCON RINCON</t>
  </si>
  <si>
    <t>001-1175812-4</t>
  </si>
  <si>
    <t xml:space="preserve">JOSE RAFAEL  CARRION GOMEZ </t>
  </si>
  <si>
    <t>001-1175303-4</t>
  </si>
  <si>
    <t xml:space="preserve">GABRIEL ANT  DOMINGUEZ DE LEON </t>
  </si>
  <si>
    <t>001-0990103-3</t>
  </si>
  <si>
    <t xml:space="preserve">JUAN MANUEL  BAEZ VALVERDE </t>
  </si>
  <si>
    <t>001-1098735-1</t>
  </si>
  <si>
    <t xml:space="preserve">JOSE LUCIO  PEREZ ALCANTARA </t>
  </si>
  <si>
    <t>001-1173431-5</t>
  </si>
  <si>
    <t xml:space="preserve">ALEXANDRA JOSEFINA  NUÑEZ BENCOSME </t>
  </si>
  <si>
    <t>001-1389308-5</t>
  </si>
  <si>
    <t>MANUEL ANIBAL FERRERAS PEÑA</t>
  </si>
  <si>
    <t>001-0274509-8</t>
  </si>
  <si>
    <t>HUASCAR OSCAR TRINIDAD VOLQUEZ</t>
  </si>
  <si>
    <t>001-1174150-0</t>
  </si>
  <si>
    <t>AGUSTINA  CARMONA DE LA CRUZ</t>
  </si>
  <si>
    <t>001-1449686-2</t>
  </si>
  <si>
    <t xml:space="preserve">FREDDY OLIVARES </t>
  </si>
  <si>
    <t>001-1441596-1</t>
  </si>
  <si>
    <t xml:space="preserve">FLERIDA A.  GARCIA NICOLAS </t>
  </si>
  <si>
    <t>001-0401171-3</t>
  </si>
  <si>
    <t xml:space="preserve">FELIX  GIRON FIGUEROA </t>
  </si>
  <si>
    <t>001-1152115-9</t>
  </si>
  <si>
    <t>AGUSTINA MENDOZA ISABEL</t>
  </si>
  <si>
    <t>001-1175085-7</t>
  </si>
  <si>
    <t>CARMEN D. ALCANTARA MORA</t>
  </si>
  <si>
    <t>001-1020662-0</t>
  </si>
  <si>
    <t xml:space="preserve">ANTONIO  TORIBIO VILLANUEVA </t>
  </si>
  <si>
    <t>044-0016728-6</t>
  </si>
  <si>
    <t xml:space="preserve">IVAN YADIL DIAZ NUNEZ </t>
  </si>
  <si>
    <t>223-0004800-0</t>
  </si>
  <si>
    <t>JOSEFINA ALT.  DURAN GIL</t>
  </si>
  <si>
    <t>001-1181655-9</t>
  </si>
  <si>
    <t xml:space="preserve">RICHARD ML. GARCIA JULIAO </t>
  </si>
  <si>
    <t>001-1375795-9</t>
  </si>
  <si>
    <t xml:space="preserve">PEDRO ZAPATA </t>
  </si>
  <si>
    <t>001-1002881-8</t>
  </si>
  <si>
    <t xml:space="preserve">ENRIQUE L.  FELIZ PEREZ </t>
  </si>
  <si>
    <t>078-0004473-2</t>
  </si>
  <si>
    <t xml:space="preserve">AMAURIS  MORA MERAN </t>
  </si>
  <si>
    <t>001-1205098-4</t>
  </si>
  <si>
    <t>PREVITELIA TERRERO DE LOS SANTOS</t>
  </si>
  <si>
    <t>001-1349040-3</t>
  </si>
  <si>
    <t xml:space="preserve">GEORGELINA  VASQUEZ HERNANDEZ </t>
  </si>
  <si>
    <t>037-0089704-8</t>
  </si>
  <si>
    <t xml:space="preserve">HILARIA  CONTRERAS ZABALA </t>
  </si>
  <si>
    <t>001-0545133-0</t>
  </si>
  <si>
    <t xml:space="preserve">BERNARDO GALAN RAMIREZ </t>
  </si>
  <si>
    <t>001-1536590-0</t>
  </si>
  <si>
    <t xml:space="preserve">RICARDO DE JESUS CRUZ GIL </t>
  </si>
  <si>
    <t>001-1541441-9</t>
  </si>
  <si>
    <t>SUBTENIENTE I</t>
  </si>
  <si>
    <t>JULIO  PAYAN AQUINO</t>
  </si>
  <si>
    <t>031-0441433-3</t>
  </si>
  <si>
    <t xml:space="preserve">GLORIBEL AVALO CELADO </t>
  </si>
  <si>
    <t>001-1176897-4</t>
  </si>
  <si>
    <t xml:space="preserve">GIOVANNY GABRIEL CORNIELLE SURIEL </t>
  </si>
  <si>
    <t>001-1475515-0</t>
  </si>
  <si>
    <t xml:space="preserve">JULIA M. CANDELARIO RODRIGUEZ </t>
  </si>
  <si>
    <t>001-1001237-4</t>
  </si>
  <si>
    <t>MIGUEL ANGEL ABAD PAREDES</t>
  </si>
  <si>
    <t>001-1449200-2</t>
  </si>
  <si>
    <t>MARICELA ALVARADO CUELLO</t>
  </si>
  <si>
    <t>056-0082663-9</t>
  </si>
  <si>
    <t>VICTORIA J. VOLQUEZ DE SEVERINO</t>
  </si>
  <si>
    <t>001-0550864-2</t>
  </si>
  <si>
    <t>CAYETANO EVANGELISTA EVANGELISTA</t>
  </si>
  <si>
    <t>001-0637866-4</t>
  </si>
  <si>
    <t>JUAN SANTANA LOPEZ</t>
  </si>
  <si>
    <t>001-0947584-8</t>
  </si>
  <si>
    <t xml:space="preserve">SANDRA JOSEFINA  CARRION CARRION </t>
  </si>
  <si>
    <t>023-0026626-5</t>
  </si>
  <si>
    <t xml:space="preserve">NANCY R. MEDINA GERMOSEN </t>
  </si>
  <si>
    <t>001-0385401-4</t>
  </si>
  <si>
    <t xml:space="preserve">MARCOS ANT.  BATISTA VILLAMAN </t>
  </si>
  <si>
    <t>031-0013502-3</t>
  </si>
  <si>
    <t xml:space="preserve">ROXANNA Y. BATISTA MATOS </t>
  </si>
  <si>
    <t>001-1664238-0</t>
  </si>
  <si>
    <t xml:space="preserve">JUANA FAMILIA CORONADO </t>
  </si>
  <si>
    <t>001-1250014-5</t>
  </si>
  <si>
    <t>RICARDO MANUEL PEGUERO</t>
  </si>
  <si>
    <t>001-0166476-1</t>
  </si>
  <si>
    <t>ANA MARINA FRANCISCA MENDEZ GOMEZ</t>
  </si>
  <si>
    <t>001-0082988-6</t>
  </si>
  <si>
    <t>RADHAMES  ANT. MARTY MACEO</t>
  </si>
  <si>
    <t>001-0056989-6</t>
  </si>
  <si>
    <t>SILO OZORIO</t>
  </si>
  <si>
    <t>023-0016108-6</t>
  </si>
  <si>
    <t>GABRIELA HERNANDEZ HERNANDEZ</t>
  </si>
  <si>
    <t>071-0003544-8</t>
  </si>
  <si>
    <t>KELVIN OSIRIS MORALES  PEÑA</t>
  </si>
  <si>
    <t>001-1246612-3</t>
  </si>
  <si>
    <t>MARIA  DE LOS ANGELES CASTRO JAVIER</t>
  </si>
  <si>
    <t>057-0003461-3</t>
  </si>
  <si>
    <t>JULIO FEDERICO ADAMES ENCARNACIÓN</t>
  </si>
  <si>
    <t>016-0000010-1</t>
  </si>
  <si>
    <t>JOSE EUCLIDES CARMONA MALOON</t>
  </si>
  <si>
    <t>002-0081103-2</t>
  </si>
  <si>
    <t>CRUZ DEL CARMEN VELEZ TAVERAS</t>
  </si>
  <si>
    <t>059-0001184-1</t>
  </si>
  <si>
    <t>ARELIS CRISTINA ALCÁNTARA</t>
  </si>
  <si>
    <t>001-0634863-4</t>
  </si>
  <si>
    <t>CARMEN  ALCEQUIEZ  MARTINEZ</t>
  </si>
  <si>
    <t>001-1214107-2</t>
  </si>
  <si>
    <t>CARMEN NATIVIDAD RIVERA</t>
  </si>
  <si>
    <t>001-0634241-3</t>
  </si>
  <si>
    <t>CARLOS MEJIA JIMENEZ</t>
  </si>
  <si>
    <t>068-0004904-8</t>
  </si>
  <si>
    <t>HENRY NICOLAS LINARES  NUÑEZ</t>
  </si>
  <si>
    <t>001-0519651-3</t>
  </si>
  <si>
    <t>ANGELA JACQUELINE ROSA GONZALEZ</t>
  </si>
  <si>
    <t>001-0735506-7</t>
  </si>
  <si>
    <t>JOSE  FRANCISCO DIAZ  POLANCO</t>
  </si>
  <si>
    <t>018-0049887-3</t>
  </si>
  <si>
    <t>LUIS  BIENVENIDO VALENZUELA GENAO</t>
  </si>
  <si>
    <t>001-0204580-4</t>
  </si>
  <si>
    <t>MARTHA YLUMINADA VILLALONA  GOMEZ</t>
  </si>
  <si>
    <t>121-0001730-5</t>
  </si>
  <si>
    <t>SANTA FCA. MONTILLA  OTAÑO</t>
  </si>
  <si>
    <t>012-0078225-6</t>
  </si>
  <si>
    <t>MERCEDES OCUMARES DE LA CRUZ</t>
  </si>
  <si>
    <t>001-0768453-2</t>
  </si>
  <si>
    <t>JUAN LARA SANCHEZ</t>
  </si>
  <si>
    <t>001-1318917-9</t>
  </si>
  <si>
    <t>República Dominicana</t>
  </si>
  <si>
    <t>Ministerio de Defensa</t>
  </si>
  <si>
    <t>Junta de Retiro y Fondo de Pensiones de las Fuerzas Armadas</t>
  </si>
  <si>
    <t>Santo Domingo, D.N.</t>
  </si>
  <si>
    <t>“TODO POR LA PATRIA”</t>
  </si>
  <si>
    <t>JOSE JOAQUIN FLORIAN DE LOS SANTOS</t>
  </si>
  <si>
    <t>001-1165359-8</t>
  </si>
  <si>
    <t>DR0532-2024</t>
  </si>
  <si>
    <t>GUILLERMO W. ROSARIO PANIAGUA</t>
  </si>
  <si>
    <t>001-1165291-3</t>
  </si>
  <si>
    <t>DR0871-2024</t>
  </si>
  <si>
    <t>decreto</t>
  </si>
  <si>
    <t>SANTIAGO</t>
  </si>
  <si>
    <t>RAFAEL ALFONSO SOSA DOMINGUEZ</t>
  </si>
  <si>
    <t>001-1170975-4</t>
  </si>
  <si>
    <t>DR0831-2024</t>
  </si>
  <si>
    <t>CLAUDIA</t>
  </si>
  <si>
    <t>ESTENIO ANTONIO CUBILETE CABRERA</t>
  </si>
  <si>
    <t>001-1172568-5</t>
  </si>
  <si>
    <t>DR0832-2024</t>
  </si>
  <si>
    <t>RICARDO R. ELIAS SOTO SUBERO</t>
  </si>
  <si>
    <t>001-0018350-8</t>
  </si>
  <si>
    <t>DR0830-2024</t>
  </si>
  <si>
    <t>HIPOLITO MORETA TAVERAS</t>
  </si>
  <si>
    <t>001-1193201-8</t>
  </si>
  <si>
    <t>DR0829-2024</t>
  </si>
  <si>
    <t>EQUIS PEREZ FELIZ</t>
  </si>
  <si>
    <t>001-1168268-8</t>
  </si>
  <si>
    <t>DR0828-2024</t>
  </si>
  <si>
    <t>MAGNOLIA DEL S. PEREZ BELLO</t>
  </si>
  <si>
    <t>001-1170867-3</t>
  </si>
  <si>
    <t>DR0531-2024</t>
  </si>
  <si>
    <t>INGRID VENERANDA MATOS DE LA CRUZ</t>
  </si>
  <si>
    <t>001-1166998-2</t>
  </si>
  <si>
    <t>DR0534-2024</t>
  </si>
  <si>
    <t xml:space="preserve">SEVERO UREÑA CASTILLO </t>
  </si>
  <si>
    <t>001-1165388-7</t>
  </si>
  <si>
    <t>DR0541-2024</t>
  </si>
  <si>
    <t>JUAN R. AQUINO RODRIGUEZ</t>
  </si>
  <si>
    <t>001-1170249-4</t>
  </si>
  <si>
    <t>DR0835-2024</t>
  </si>
  <si>
    <t>ROSARIO A. DEL VALLE VARGAS</t>
  </si>
  <si>
    <t>001-1257324-1</t>
  </si>
  <si>
    <t>DR0833-2024</t>
  </si>
  <si>
    <t>HILARIO ZORRILLA LEONARDO</t>
  </si>
  <si>
    <t>001-1166088-2</t>
  </si>
  <si>
    <t>DR0536-2024</t>
  </si>
  <si>
    <t>RAMON PLASENCIA FERNANDEZ</t>
  </si>
  <si>
    <t>048-0062561-0</t>
  </si>
  <si>
    <t>DR0537-2024</t>
  </si>
  <si>
    <t>ALFREDO  MATEO ENCARNACION</t>
  </si>
  <si>
    <t>001-1170986-1</t>
  </si>
  <si>
    <t>DR0834-2024</t>
  </si>
  <si>
    <t>JOSE L. ACOSTA COLLADO</t>
  </si>
  <si>
    <t>018-0004969-2</t>
  </si>
  <si>
    <t>DR0700-2024</t>
  </si>
  <si>
    <t>YORCA MENDEZ ESPINOSA</t>
  </si>
  <si>
    <t>001-1168338-9</t>
  </si>
  <si>
    <t>DR0530-2024</t>
  </si>
  <si>
    <t>NATANAEL ARIAS DOMINGUEZ</t>
  </si>
  <si>
    <t>001-1167835-5</t>
  </si>
  <si>
    <t>DR0538-2024</t>
  </si>
  <si>
    <t>PEDRO GARCIA Y GARCIA</t>
  </si>
  <si>
    <t>001-1166776-2</t>
  </si>
  <si>
    <t>DR0514-2024</t>
  </si>
  <si>
    <t>BENIGNO ANTONIO MORA VILLAR</t>
  </si>
  <si>
    <t>001-1166312-6</t>
  </si>
  <si>
    <t>DR0515-2024</t>
  </si>
  <si>
    <t>JOSE MANUEL ROSARIO MORETA</t>
  </si>
  <si>
    <t>016-0011334-2</t>
  </si>
  <si>
    <t>DR0516-2024</t>
  </si>
  <si>
    <t>RUFO QUEVEDO AMADOR</t>
  </si>
  <si>
    <t>011-0025788-8</t>
  </si>
  <si>
    <t>DR0517-2024</t>
  </si>
  <si>
    <t>JOSE ARISMENDY PEÑA BATISTA</t>
  </si>
  <si>
    <t>023-0094146-1</t>
  </si>
  <si>
    <t>DR0518-2024</t>
  </si>
  <si>
    <t>RAMON ALCIDES FRANCO VALENZUELA</t>
  </si>
  <si>
    <t>053-0027110-2</t>
  </si>
  <si>
    <t>DR0519-2024</t>
  </si>
  <si>
    <t>BRELIN PEREZ Y PEREZ</t>
  </si>
  <si>
    <t>001-1172827-5</t>
  </si>
  <si>
    <t>DR0520-2024</t>
  </si>
  <si>
    <t>RAMON ANT. ROSARIO RODRIGUEZ</t>
  </si>
  <si>
    <t>001-1172083-5</t>
  </si>
  <si>
    <t>DR0836-2024</t>
  </si>
  <si>
    <t>JULIO ANDRES MEDINA FERRERAS</t>
  </si>
  <si>
    <t>001-1167270-5</t>
  </si>
  <si>
    <t>DR0521-2024</t>
  </si>
  <si>
    <t>JOSE B. OBISPO VALENZUELA DIAZ</t>
  </si>
  <si>
    <t>001-0996121-9</t>
  </si>
  <si>
    <t>DR0704-2024</t>
  </si>
  <si>
    <t>MERCEDES PEREZ ESPINAL</t>
  </si>
  <si>
    <t>001-1202034-2</t>
  </si>
  <si>
    <t>DR0701-2024</t>
  </si>
  <si>
    <t>EDISON GONZALEZ NIN</t>
  </si>
  <si>
    <t>020-0010996-3</t>
  </si>
  <si>
    <t>DR0522-2024</t>
  </si>
  <si>
    <t>JOSE RAFAEL LOPEZ TORIBIO</t>
  </si>
  <si>
    <t>096-0017254-9</t>
  </si>
  <si>
    <t>DR0523-2024</t>
  </si>
  <si>
    <t>FRANCISCO ENCARNACION RAMIREZ</t>
  </si>
  <si>
    <t>001-1166442-1</t>
  </si>
  <si>
    <t>DR0524-2024</t>
  </si>
  <si>
    <t>PABLO EMILIO HEREDIA MERCEDES</t>
  </si>
  <si>
    <t>001-1170054-8</t>
  </si>
  <si>
    <t>DR0525-2024</t>
  </si>
  <si>
    <t>JHONNY LOPEZ ORTEGA</t>
  </si>
  <si>
    <t>001-1202353-6</t>
  </si>
  <si>
    <t>DR0526-2024</t>
  </si>
  <si>
    <t>ELIZABETH  SUAREZ DEL ORBE</t>
  </si>
  <si>
    <t>001-0970057-5</t>
  </si>
  <si>
    <t>DR0702-2024</t>
  </si>
  <si>
    <t>SANDY MANUEL GOMEZ FELIZ</t>
  </si>
  <si>
    <t>022-0023747-3</t>
  </si>
  <si>
    <t>DR0527-2024</t>
  </si>
  <si>
    <t>MIGUEL ANGEL LUGO CUELLO</t>
  </si>
  <si>
    <t>001-0256334-3</t>
  </si>
  <si>
    <t>DR0528-2024</t>
  </si>
  <si>
    <t>JEANNY JANET RAMIREZ RIVAS</t>
  </si>
  <si>
    <t>001-1167175-6</t>
  </si>
  <si>
    <t>DR0529-2024</t>
  </si>
  <si>
    <t>EMERITO GARCIA PEREZ</t>
  </si>
  <si>
    <t>001-1165746-6</t>
  </si>
  <si>
    <t>DR0539-2024</t>
  </si>
  <si>
    <t>MAXIMO FORTUNA ROSARIO</t>
  </si>
  <si>
    <t>001-1167846-2</t>
  </si>
  <si>
    <t>DR0540-2024</t>
  </si>
  <si>
    <t>DELKIS RICARDO GUZMAN Y GUZMAN</t>
  </si>
  <si>
    <t>077-0004375-0</t>
  </si>
  <si>
    <t>DR0535-2024</t>
  </si>
  <si>
    <t>JUAN D. RAMIREZ DE LOS SANTOS</t>
  </si>
  <si>
    <t>015-0003829-2</t>
  </si>
  <si>
    <t>DR0533-2024</t>
  </si>
  <si>
    <t>NANCY DAMIANA REYES FERNANDEZ</t>
  </si>
  <si>
    <t>001-0916969-8</t>
  </si>
  <si>
    <t>DR0859-2024</t>
  </si>
  <si>
    <t>HECTOR DAMIAN SANTIAGO Y SANTIAGO</t>
  </si>
  <si>
    <t>001-1103697-6</t>
  </si>
  <si>
    <t>CARDIOPATIA ISQUEMICA CRONICA; HIPERTENSION ARTERIAL SISTEMICA; FEBRILACION ATRIAL PAROXISTICA</t>
  </si>
  <si>
    <t>DR0810-2024</t>
  </si>
  <si>
    <t>MILKA ROSALYN GUZMAN SANCHEZ</t>
  </si>
  <si>
    <t>031-0373996-1</t>
  </si>
  <si>
    <t>DR0857-2024</t>
  </si>
  <si>
    <t>ULTIMO</t>
  </si>
  <si>
    <t xml:space="preserve">CAPITAN </t>
  </si>
  <si>
    <t>CRISTOBAL ADAMES PERALTA</t>
  </si>
  <si>
    <t>012-0070033-2</t>
  </si>
  <si>
    <t>DR0492-2024</t>
  </si>
  <si>
    <t>jennifer</t>
  </si>
  <si>
    <t>GEORGE ALB. ARIAS MONTERO</t>
  </si>
  <si>
    <t>016-0011077-7</t>
  </si>
  <si>
    <t>DR0493-2024</t>
  </si>
  <si>
    <t>JESUS MENDEZ Y MENDEZ</t>
  </si>
  <si>
    <t>040-0009226-4</t>
  </si>
  <si>
    <t>DR0494-2024</t>
  </si>
  <si>
    <t>CARMEN RAQUEL GONZALEZ JORGE</t>
  </si>
  <si>
    <t>001-1166248-2</t>
  </si>
  <si>
    <t>DR0496-2024</t>
  </si>
  <si>
    <t>RUDDY MARTIN GOMEZ NUÑEZ</t>
  </si>
  <si>
    <t>044-0016671-8</t>
  </si>
  <si>
    <t>DR0491-2024</t>
  </si>
  <si>
    <t>CLAUDIO FERNANDEZ LOPEZ</t>
  </si>
  <si>
    <t>031-0299322-1</t>
  </si>
  <si>
    <t>DR0495-2024</t>
  </si>
  <si>
    <t>ERNESTO FERRERAS GOMEZ</t>
  </si>
  <si>
    <t>078-0009847-2</t>
  </si>
  <si>
    <t>DR0497-2024</t>
  </si>
  <si>
    <t>EMILIANO ROA GONZALEZ</t>
  </si>
  <si>
    <t>001-1167741-5</t>
  </si>
  <si>
    <t>DR0501-2024</t>
  </si>
  <si>
    <t>NELSON PANIAGUA LUCIANO</t>
  </si>
  <si>
    <t>001-1188847-5</t>
  </si>
  <si>
    <t>DR0502-2024</t>
  </si>
  <si>
    <t>ANGEL TOMAS FERNANDEZ SUAREZ</t>
  </si>
  <si>
    <t>001-1202443-5</t>
  </si>
  <si>
    <t>DR0838-2024</t>
  </si>
  <si>
    <t>ANGEL A. AQUINO CONSORO</t>
  </si>
  <si>
    <t>001-1723153-0</t>
  </si>
  <si>
    <t>DR0705-2024</t>
  </si>
  <si>
    <t>DARVIN RAFAEL MATOS ALCANTARA</t>
  </si>
  <si>
    <t>018-0023558-0</t>
  </si>
  <si>
    <t>DR0706-2024</t>
  </si>
  <si>
    <t xml:space="preserve">EDDY DAMARIS BAUTISTA MENDEZ </t>
  </si>
  <si>
    <t>001-1202356-9</t>
  </si>
  <si>
    <t>DR0566-2024</t>
  </si>
  <si>
    <t>SENEIDA TINEO ALONZO</t>
  </si>
  <si>
    <t>001-1168294-4</t>
  </si>
  <si>
    <t>DR0503-2024</t>
  </si>
  <si>
    <t>TITO MADE SALVADOR</t>
  </si>
  <si>
    <t>001-1193026-9</t>
  </si>
  <si>
    <t>DR0504-2024</t>
  </si>
  <si>
    <t>ROBERT SENA SIERRA</t>
  </si>
  <si>
    <t>077-0004571-4</t>
  </si>
  <si>
    <t>DR0505-2024</t>
  </si>
  <si>
    <t xml:space="preserve">JULIA ALT. PINALES CUEVAS </t>
  </si>
  <si>
    <t>002-0016842-5</t>
  </si>
  <si>
    <t>DR0707-2024</t>
  </si>
  <si>
    <t>CRISTIAN CALDERON GARCIA</t>
  </si>
  <si>
    <t>001-1170122-3</t>
  </si>
  <si>
    <t>DR0713-2024</t>
  </si>
  <si>
    <t>SIMON  REYES VICIOSO</t>
  </si>
  <si>
    <t>011-0025441-4</t>
  </si>
  <si>
    <t>DR0837-2024</t>
  </si>
  <si>
    <t>JOSE FERMIN MATIAS TAVAREZ</t>
  </si>
  <si>
    <t>034-0035543-8</t>
  </si>
  <si>
    <t>DR0506-2024</t>
  </si>
  <si>
    <t xml:space="preserve">EDWIN ALB. VARGAS SEGURA </t>
  </si>
  <si>
    <t>001-1361970-4</t>
  </si>
  <si>
    <t>DR0708-2024</t>
  </si>
  <si>
    <t>ROSA CRISTINA VERAS PEREZ</t>
  </si>
  <si>
    <t>001-1167301-8</t>
  </si>
  <si>
    <t>DR0807-2024</t>
  </si>
  <si>
    <t>CANDIDA FELICIA VICTORIA ALMONTE</t>
  </si>
  <si>
    <t>037-0055184-3</t>
  </si>
  <si>
    <t>DR0709-2024</t>
  </si>
  <si>
    <t>EUSEBIA  VALDEZ MONTERO</t>
  </si>
  <si>
    <t>011-0006381-5</t>
  </si>
  <si>
    <t>DR0873-2024</t>
  </si>
  <si>
    <t>MARLENNY  ROSARIO CORPORAN</t>
  </si>
  <si>
    <t>001-1674684-3</t>
  </si>
  <si>
    <t>CANCER DE MAMA</t>
  </si>
  <si>
    <t>DR0865-2024</t>
  </si>
  <si>
    <t>MARINO  MARTINEZ DE LOS SANTOS</t>
  </si>
  <si>
    <t>015-0003965-4</t>
  </si>
  <si>
    <t>DR0562-2024</t>
  </si>
  <si>
    <t>DENNIS RONDON ACOSTA</t>
  </si>
  <si>
    <t>001-1193159-8</t>
  </si>
  <si>
    <t>DR0558-2024</t>
  </si>
  <si>
    <t>SANTO GALVAN SOTO</t>
  </si>
  <si>
    <t>003-0065935-6</t>
  </si>
  <si>
    <t>DR0563-2024</t>
  </si>
  <si>
    <t>ANGEL HERNANDEZ</t>
  </si>
  <si>
    <t>005-0032135-1</t>
  </si>
  <si>
    <t>DR0559-2024</t>
  </si>
  <si>
    <t xml:space="preserve">WILSON ORTIZ DE JESUS </t>
  </si>
  <si>
    <t>004-0014925-8</t>
  </si>
  <si>
    <t>DR0560-2024</t>
  </si>
  <si>
    <t>CARLOS MANUEL OGANDO PIRON</t>
  </si>
  <si>
    <t>012-0077553-2</t>
  </si>
  <si>
    <t>DR0792-2024</t>
  </si>
  <si>
    <t>HUGO EDUARDO VILLANUEVA BRUGAL</t>
  </si>
  <si>
    <t>001-1166884-4</t>
  </si>
  <si>
    <t>DR0839-2024</t>
  </si>
  <si>
    <t>MIREYA  MOYA MATEO</t>
  </si>
  <si>
    <t>001-1169982-3</t>
  </si>
  <si>
    <t>DR0840-2024</t>
  </si>
  <si>
    <t>PEDRO ANTONIO HERNANDEZ ABREU</t>
  </si>
  <si>
    <t>053-0028837-9</t>
  </si>
  <si>
    <t>DR0710-2024</t>
  </si>
  <si>
    <t>JULIAN AMERICO MORERA GARCIA</t>
  </si>
  <si>
    <t>001-1105578-6</t>
  </si>
  <si>
    <t>DR0711-2024</t>
  </si>
  <si>
    <t>CRISTIAN DE LA NUEZ CABRERA</t>
  </si>
  <si>
    <t>058-0024760-2</t>
  </si>
  <si>
    <t>DR0703-2024</t>
  </si>
  <si>
    <t>SANTIAGO BERROA DE LA CRUZ</t>
  </si>
  <si>
    <t>005-0028446-8</t>
  </si>
  <si>
    <t>DR0712-2024</t>
  </si>
  <si>
    <t>NICOLAS CABRERA PEÑA</t>
  </si>
  <si>
    <t>110-0003771-0</t>
  </si>
  <si>
    <t>DR0561-2024</t>
  </si>
  <si>
    <t>VIRGILIO MONTERO SANCHEZ</t>
  </si>
  <si>
    <t>001-0318054-3</t>
  </si>
  <si>
    <t>DR0699-2024</t>
  </si>
  <si>
    <t>WILLY LEIVINSON REYNOSO PAULINO</t>
  </si>
  <si>
    <t>071-0043066-4</t>
  </si>
  <si>
    <t>DR0782-2024</t>
  </si>
  <si>
    <t>ANTONIA JAQUEZ MARTINEZ</t>
  </si>
  <si>
    <t>001-0425530-2</t>
  </si>
  <si>
    <t>DR0784-2024</t>
  </si>
  <si>
    <t xml:space="preserve">AGAPITO MARTINEZ </t>
  </si>
  <si>
    <t>005-0033660-7</t>
  </si>
  <si>
    <t>DR0785-2024</t>
  </si>
  <si>
    <t>TONY GONZALEZ ROSARIO</t>
  </si>
  <si>
    <t>016-0012552-8</t>
  </si>
  <si>
    <t>DR0787-2024</t>
  </si>
  <si>
    <t>DOMINGO GERALDO MARTE</t>
  </si>
  <si>
    <t>010-0067030-5</t>
  </si>
  <si>
    <t>DR0564-2024</t>
  </si>
  <si>
    <t>JANICE MICHELLE HERNANDEZ LOPEZ</t>
  </si>
  <si>
    <t>001-1767386-3</t>
  </si>
  <si>
    <t>DR0805-2024</t>
  </si>
  <si>
    <t>ROSAURA SEVERINO SOSA</t>
  </si>
  <si>
    <t>001-1202029-2</t>
  </si>
  <si>
    <t>DR0565-2024</t>
  </si>
  <si>
    <t>FAUSTO ENCARNACION PEÑA</t>
  </si>
  <si>
    <t>012-0077820-5</t>
  </si>
  <si>
    <t>DR0548-2024</t>
  </si>
  <si>
    <t>DIONISIO CONTRERAS ALCANTARA</t>
  </si>
  <si>
    <t>074-0003094-1</t>
  </si>
  <si>
    <t>DR0551-2024</t>
  </si>
  <si>
    <t>NELSON ANTONIO CONCEPCION GERMAN</t>
  </si>
  <si>
    <t>059-0008749-4</t>
  </si>
  <si>
    <t>DR0544-2024</t>
  </si>
  <si>
    <t>RESTITUYO DE LOS SANTOS DE LA ROSA</t>
  </si>
  <si>
    <t>094-0014114-0</t>
  </si>
  <si>
    <t>DR0543-2024</t>
  </si>
  <si>
    <t>JHONNY ARTURO MERAN</t>
  </si>
  <si>
    <t>001-1489300-1</t>
  </si>
  <si>
    <t>DR0545-2024</t>
  </si>
  <si>
    <t>FRANKLIN O. CABRERA PUJOLS</t>
  </si>
  <si>
    <t>001-1169379-2</t>
  </si>
  <si>
    <t>DR0546-2024</t>
  </si>
  <si>
    <t>INOCENSIO FERRERAS NOVAS</t>
  </si>
  <si>
    <t>022-0023158-3</t>
  </si>
  <si>
    <t>DR0684-2024</t>
  </si>
  <si>
    <t>DARVIN ISIDRO FLORIAN CUEVAS</t>
  </si>
  <si>
    <t>078-0010545-9</t>
  </si>
  <si>
    <t>DR0842-2024</t>
  </si>
  <si>
    <t xml:space="preserve">FATIMA M. PEREZ </t>
  </si>
  <si>
    <t>044-0014491-3</t>
  </si>
  <si>
    <t>DR0841-2024</t>
  </si>
  <si>
    <t>MANUEL DE JS. GEREZ MONCION</t>
  </si>
  <si>
    <t>044-0014967-2</t>
  </si>
  <si>
    <t>DR0843-2024</t>
  </si>
  <si>
    <t>JOSE R. JIMENEZ SANCHEZ</t>
  </si>
  <si>
    <t>055-0026124-2</t>
  </si>
  <si>
    <t>DR0685-2024</t>
  </si>
  <si>
    <t>AUGUSTO CUEVAS PEREZ</t>
  </si>
  <si>
    <t>020-0010528-4</t>
  </si>
  <si>
    <t>DR0550-2024</t>
  </si>
  <si>
    <t>ESTEBAN  TEJADA ALCANTARA</t>
  </si>
  <si>
    <t>001-1445656-9</t>
  </si>
  <si>
    <t>JOSE RAMON CARRERAS RIVERA</t>
  </si>
  <si>
    <t>008-0018837-7</t>
  </si>
  <si>
    <t>DR0870-2024</t>
  </si>
  <si>
    <t>problemas en cert.</t>
  </si>
  <si>
    <t>MARCOS WELVIN CRUZ MATOS</t>
  </si>
  <si>
    <t>001-0537698-2</t>
  </si>
  <si>
    <t>DR0686-2024</t>
  </si>
  <si>
    <t>RAFAEL SUAREZ CONCEPCION</t>
  </si>
  <si>
    <t>001-1261543-0</t>
  </si>
  <si>
    <t>DR0687-2024</t>
  </si>
  <si>
    <t xml:space="preserve">DOMINGO ALMONTE SOSA </t>
  </si>
  <si>
    <t>001-1221687-4</t>
  </si>
  <si>
    <t>DR0549-2024</t>
  </si>
  <si>
    <t>JOSE GABRIEL RODRIGUEZ HERNANDEZ</t>
  </si>
  <si>
    <t>001-1787256-4</t>
  </si>
  <si>
    <t>DR0688-2024</t>
  </si>
  <si>
    <t>SILVESTRE  MARTIRES AQUINO</t>
  </si>
  <si>
    <t>023-0093549-7</t>
  </si>
  <si>
    <t>DR0689-2024</t>
  </si>
  <si>
    <t>LUIS ML. DE LA N. MARTÍNEZ CONTRERAS</t>
  </si>
  <si>
    <t>093-0042941-3</t>
  </si>
  <si>
    <t>DR0690-2024</t>
  </si>
  <si>
    <t>FEDERICO MEDINA DE LOS SANTOS</t>
  </si>
  <si>
    <t>016-0012519-7</t>
  </si>
  <si>
    <t>DR0691-2024</t>
  </si>
  <si>
    <t>JOSE ALT. MAMBRU SORIANO</t>
  </si>
  <si>
    <t>001-0451100-1</t>
  </si>
  <si>
    <t>DR0692-2024</t>
  </si>
  <si>
    <t>YISSELLE MIGUELINA RAMIREZ CASTILLO</t>
  </si>
  <si>
    <t>001-1574918-6</t>
  </si>
  <si>
    <t>DR0693-2024</t>
  </si>
  <si>
    <t>KELSY VARGAS REYES</t>
  </si>
  <si>
    <t>049-0064181-4</t>
  </si>
  <si>
    <t>DR0694-2024</t>
  </si>
  <si>
    <t>JUAN GUZMAN PEREZ</t>
  </si>
  <si>
    <t>031-0255389-2</t>
  </si>
  <si>
    <t>DR0874-2024</t>
  </si>
  <si>
    <t>ALEXANDER MATOS CARABALLO</t>
  </si>
  <si>
    <t>020-0011396-5</t>
  </si>
  <si>
    <t>DR0695-2024</t>
  </si>
  <si>
    <t>CANDY SUGEITH ABREU DIAZ</t>
  </si>
  <si>
    <t>001-1645529-6</t>
  </si>
  <si>
    <t>DR0806-2024</t>
  </si>
  <si>
    <t>AURELIO MONTERO GARCIA</t>
  </si>
  <si>
    <t>001-1171117-2</t>
  </si>
  <si>
    <t>DR0696-2024</t>
  </si>
  <si>
    <t>ANULFO  ENCARNACION MEDINA</t>
  </si>
  <si>
    <t>012-0070028-2</t>
  </si>
  <si>
    <t>DR0845-2024</t>
  </si>
  <si>
    <t>RAMON  SANTANA CLETO</t>
  </si>
  <si>
    <t>008-0021363-9</t>
  </si>
  <si>
    <t>DR0844-2024</t>
  </si>
  <si>
    <t>claudia</t>
  </si>
  <si>
    <t xml:space="preserve">JOSEFINA  CERDA </t>
  </si>
  <si>
    <t>001-0199594-2</t>
  </si>
  <si>
    <t>DR0819-2024</t>
  </si>
  <si>
    <t>RAUL EDUARDO DULUC PUMAROL</t>
  </si>
  <si>
    <t>001-0101920-6</t>
  </si>
  <si>
    <t>ARTROSIS POSTRAUMATICA DE RODILLA Y TOBILLLO IPSILATERAL; ESPONDILOARTROSIS DE COLUMNA LUMBAR.</t>
  </si>
  <si>
    <t>DR0367-2024</t>
  </si>
  <si>
    <t>PAULA ANDREA ACEVEDO ROMERO</t>
  </si>
  <si>
    <t>001-1431630-0</t>
  </si>
  <si>
    <t>DR0861-2024</t>
  </si>
  <si>
    <t xml:space="preserve">SARGENTO MAYOR </t>
  </si>
  <si>
    <t xml:space="preserve">PABLO UBIERA DE CASTRO </t>
  </si>
  <si>
    <t>001-0814971-7</t>
  </si>
  <si>
    <t>DR0673-2024</t>
  </si>
  <si>
    <t>SANTIAGO FIGUEREO RAMIREZ</t>
  </si>
  <si>
    <t>010-0063785-8</t>
  </si>
  <si>
    <t>DR0556-2024</t>
  </si>
  <si>
    <t>NATIVO DE JESUS BELEN</t>
  </si>
  <si>
    <t>001-0626292-6</t>
  </si>
  <si>
    <t>DR0697-2024</t>
  </si>
  <si>
    <t>MIGUEL SUERO COLAS</t>
  </si>
  <si>
    <t>001-0695858-0</t>
  </si>
  <si>
    <t>DR0552-2024</t>
  </si>
  <si>
    <t>LUISA MIGUELINA VERAS CAMEJO</t>
  </si>
  <si>
    <t>034-0028414-1</t>
  </si>
  <si>
    <t>DR0698-2024</t>
  </si>
  <si>
    <t>pedir cert.</t>
  </si>
  <si>
    <t>ROSARIO FERRERAS FERRERAS</t>
  </si>
  <si>
    <t>001-0564864-6</t>
  </si>
  <si>
    <t>DR0772-2024</t>
  </si>
  <si>
    <t xml:space="preserve">JULIO ANTONIO MARTINEZ </t>
  </si>
  <si>
    <t>044-0017020-7</t>
  </si>
  <si>
    <t>DR0553-2024</t>
  </si>
  <si>
    <t>DAVID ALEJANDRO ALCANTARA VARELA</t>
  </si>
  <si>
    <t>001-1139117-3</t>
  </si>
  <si>
    <t>DR0780-2024</t>
  </si>
  <si>
    <t>WENDY MERCEDES PERALTA GUANTE</t>
  </si>
  <si>
    <t>001-1242525-1</t>
  </si>
  <si>
    <t>DR0773-2024</t>
  </si>
  <si>
    <t>ALIC THOMAS CASTAING MARTINEZ</t>
  </si>
  <si>
    <t>001-1105914-3</t>
  </si>
  <si>
    <t>DR0554-2024</t>
  </si>
  <si>
    <t>DIOGENES DE JESUS REYES RIVERAS</t>
  </si>
  <si>
    <t>001-1650519-9</t>
  </si>
  <si>
    <t>DR0804-2024</t>
  </si>
  <si>
    <t>OSCAR LEONEL ARES SALAZAR</t>
  </si>
  <si>
    <t>001-0156765-9</t>
  </si>
  <si>
    <t>DR0808-2024</t>
  </si>
  <si>
    <t>MONICO SANCHEZ</t>
  </si>
  <si>
    <t>049-0052146-1</t>
  </si>
  <si>
    <t>DR0555-2024</t>
  </si>
  <si>
    <t>ESMARLIN RODOLFO MATEO DEL JESUS</t>
  </si>
  <si>
    <t>001-1747891-7</t>
  </si>
  <si>
    <t>DR0862-2024</t>
  </si>
  <si>
    <t>SARGENTO</t>
  </si>
  <si>
    <t>MAYRA ALT. MOLINA MARTINEZ</t>
  </si>
  <si>
    <t>001-0157359-0</t>
  </si>
  <si>
    <t>DR0567-2024</t>
  </si>
  <si>
    <t>JESUS  SILVERIO ROSARIO</t>
  </si>
  <si>
    <t>001-1185384-2</t>
  </si>
  <si>
    <t>DR0568-2024</t>
  </si>
  <si>
    <t>JOSELO  CALDERON VILLAR</t>
  </si>
  <si>
    <t>028-0075566-8</t>
  </si>
  <si>
    <t>TRASTORNO BIPOLAR</t>
  </si>
  <si>
    <t>DR0864-2024</t>
  </si>
  <si>
    <t>MONICA PILAR RODRIGUEZ</t>
  </si>
  <si>
    <t>001-0536323-8</t>
  </si>
  <si>
    <t>DR0798-2024</t>
  </si>
  <si>
    <t xml:space="preserve">HENRY ANDUJAR RIVERA </t>
  </si>
  <si>
    <t>001-0750890-5</t>
  </si>
  <si>
    <t>DR0776-2024</t>
  </si>
  <si>
    <t>VICEALMIRANTE</t>
  </si>
  <si>
    <t>FRANCISCO ANTONIO SOSA CASTILLO</t>
  </si>
  <si>
    <t>001-1178961-6</t>
  </si>
  <si>
    <t>DR0846-2024</t>
  </si>
  <si>
    <t>CAPITAN DE NAVIO</t>
  </si>
  <si>
    <t>ROCIO CRISTY SANTANA GONZALEZ</t>
  </si>
  <si>
    <t>001-1313752-5</t>
  </si>
  <si>
    <t>DR0591-2024</t>
  </si>
  <si>
    <t>FELIZ AMAURY PEREZ CABA</t>
  </si>
  <si>
    <t>001-1195266-9</t>
  </si>
  <si>
    <t>DR0590-2024</t>
  </si>
  <si>
    <t>CAPITAN DE FRAGATA</t>
  </si>
  <si>
    <t>CECILIO IGNACIO JAVIER MORENO</t>
  </si>
  <si>
    <t>001-1179933-4</t>
  </si>
  <si>
    <t>DR0592-2024</t>
  </si>
  <si>
    <t>FRANKLIN ARIEL SALAS RESTITUYO</t>
  </si>
  <si>
    <t>001-1180116-3</t>
  </si>
  <si>
    <t>DR0593-2024</t>
  </si>
  <si>
    <t>ALEJANDRO  ASENCIO LIRIANO</t>
  </si>
  <si>
    <t>001-1178581-2</t>
  </si>
  <si>
    <t>DR0766-2024</t>
  </si>
  <si>
    <t xml:space="preserve">GERMAN  CUESTA </t>
  </si>
  <si>
    <t>001-1180623-8</t>
  </si>
  <si>
    <t>DR0594-2024</t>
  </si>
  <si>
    <t>DAVID  PEÑA LUGO</t>
  </si>
  <si>
    <t>001-1179225-5</t>
  </si>
  <si>
    <t>DR0856-2024</t>
  </si>
  <si>
    <t>CAPITAN DE CORBETA</t>
  </si>
  <si>
    <t>ROBERTO ROBLES LORENZO</t>
  </si>
  <si>
    <t>001-1179730-4</t>
  </si>
  <si>
    <t>DR0595-2024</t>
  </si>
  <si>
    <t>STENLEY ENRIQUE SORIANO AYBAR</t>
  </si>
  <si>
    <t>003-0065568-5</t>
  </si>
  <si>
    <t>DR0596-2024</t>
  </si>
  <si>
    <t>ERNESTO DIAZ PEREZ</t>
  </si>
  <si>
    <t>001-1178608-3</t>
  </si>
  <si>
    <t>DR0597-2024</t>
  </si>
  <si>
    <t>IVAN ALEJANDRO PEÑA GOEDE</t>
  </si>
  <si>
    <t>001-1221769-0</t>
  </si>
  <si>
    <t>DR0598-2024</t>
  </si>
  <si>
    <t>FRANCISCO DE LOS SANTOS JIMENEZ</t>
  </si>
  <si>
    <t>001-1178572-1</t>
  </si>
  <si>
    <t>DR0599-2024</t>
  </si>
  <si>
    <t>FELIPE MELENDEZ CONTRERAS</t>
  </si>
  <si>
    <t>047-0149059-3</t>
  </si>
  <si>
    <t>DR0600-2024</t>
  </si>
  <si>
    <t>DOMINGO ANT. DE LA CRUZ</t>
  </si>
  <si>
    <t>010-0066697-2</t>
  </si>
  <si>
    <t>DR0601-2024</t>
  </si>
  <si>
    <t>FLAVIO ALCANTARA ESPINOSA</t>
  </si>
  <si>
    <t>001-1180117-1</t>
  </si>
  <si>
    <t>DR0575-2024</t>
  </si>
  <si>
    <t>JUANA ROSARIO PANIAGUA</t>
  </si>
  <si>
    <t>001-1179001-0</t>
  </si>
  <si>
    <t>DR0576-2024</t>
  </si>
  <si>
    <t>MAXIMO ANTONIO VILORIO HERRERA</t>
  </si>
  <si>
    <t>027-0028213-6</t>
  </si>
  <si>
    <t>DR0577-2024</t>
  </si>
  <si>
    <t>OCTAVIO  JAQUEZ PANIAGUA</t>
  </si>
  <si>
    <t>001-1170247-8</t>
  </si>
  <si>
    <t>DR0847-2024</t>
  </si>
  <si>
    <t xml:space="preserve">MITEL NARDO MONTERO </t>
  </si>
  <si>
    <t>001-1180054-6</t>
  </si>
  <si>
    <t>DR0578-2024</t>
  </si>
  <si>
    <t>ROSAURA SANTOS ORTIZ</t>
  </si>
  <si>
    <t>001-1202657-0</t>
  </si>
  <si>
    <t>DR0579-2024</t>
  </si>
  <si>
    <t>TERESA DE JESUS CUEVAS SANTANA</t>
  </si>
  <si>
    <t>001-1180246-8</t>
  </si>
  <si>
    <t>DR0580-2024</t>
  </si>
  <si>
    <t>PABLO PEÑA HEREDIA</t>
  </si>
  <si>
    <t>001-1222999-2</t>
  </si>
  <si>
    <t>DR0581-2024</t>
  </si>
  <si>
    <t>CARLOS ACOSTA VARGAS</t>
  </si>
  <si>
    <t>001-1223117-0</t>
  </si>
  <si>
    <t>DR0582-2024</t>
  </si>
  <si>
    <t>ALBERTO MATOS FERRERA</t>
  </si>
  <si>
    <t>069-0005964-0</t>
  </si>
  <si>
    <t>DR0583-2024</t>
  </si>
  <si>
    <t>MIGUEL ANGEL RAMIREZ LORENZO</t>
  </si>
  <si>
    <t>011-0025157-6</t>
  </si>
  <si>
    <t>DR0584-2024</t>
  </si>
  <si>
    <t>OSCAR GONZALEZ PINALES</t>
  </si>
  <si>
    <t>002-0101631-8</t>
  </si>
  <si>
    <t>DR0585-2024</t>
  </si>
  <si>
    <t>CASIMIRO DIAZ MEJIA</t>
  </si>
  <si>
    <t>011-0025168-3</t>
  </si>
  <si>
    <t>DR0586-2024</t>
  </si>
  <si>
    <t>JOHN HENRY FERRERAS RIVERA</t>
  </si>
  <si>
    <t>001-1312197-4</t>
  </si>
  <si>
    <t>DR0587-2024</t>
  </si>
  <si>
    <t>ROSA ALEJANDRA SUAZO HOEPELMAN</t>
  </si>
  <si>
    <t>001-1178901-2</t>
  </si>
  <si>
    <t>DR0876-2024</t>
  </si>
  <si>
    <t>santiago</t>
  </si>
  <si>
    <t>JOSE ALTAGRACIA RONDON LOPEZ</t>
  </si>
  <si>
    <t>049-0051588-5</t>
  </si>
  <si>
    <t>DR0588-2024</t>
  </si>
  <si>
    <t>RAMON ANTONIO GOMEZ VILLAR</t>
  </si>
  <si>
    <t>047-0118401-4</t>
  </si>
  <si>
    <t>DR0589-2024</t>
  </si>
  <si>
    <t>FATIMA EMILIA MEDINA MELO</t>
  </si>
  <si>
    <t>003-0066510-6</t>
  </si>
  <si>
    <t>DR0604-2024</t>
  </si>
  <si>
    <t>ANGEL BILEXI DE LA PAZ PEÑA</t>
  </si>
  <si>
    <t>020-0010742-1</t>
  </si>
  <si>
    <t>DR0603-2024</t>
  </si>
  <si>
    <t>EUDY BDO. DE LEON CESPEDES</t>
  </si>
  <si>
    <t>010-0069575-7</t>
  </si>
  <si>
    <t>DR0626-2024</t>
  </si>
  <si>
    <t>ZOILO BENEDICTO CASTRO GUZMAN</t>
  </si>
  <si>
    <t>001-0551469-9</t>
  </si>
  <si>
    <t>DR0620-2024</t>
  </si>
  <si>
    <t>FREDDY OTAÑO RAMIREZ</t>
  </si>
  <si>
    <t>012-0074923-0</t>
  </si>
  <si>
    <t>DR0679-2024</t>
  </si>
  <si>
    <t>FRANCISCO ALBERTO VENTURA SIRI</t>
  </si>
  <si>
    <t>001-1339836-6</t>
  </si>
  <si>
    <t>DR0797-2024</t>
  </si>
  <si>
    <t>KARINA CALDERON PIMENTEL</t>
  </si>
  <si>
    <t>001-1624913-7</t>
  </si>
  <si>
    <t>DR0621-2024</t>
  </si>
  <si>
    <t>PLACIDO ORTIZ BAUTISTA</t>
  </si>
  <si>
    <t>011-0026107-0</t>
  </si>
  <si>
    <t>DR0680-2024</t>
  </si>
  <si>
    <t>CIPRIANO  GARCIA FAMILIA</t>
  </si>
  <si>
    <t>011-0025713-6</t>
  </si>
  <si>
    <t>DR0815-2024</t>
  </si>
  <si>
    <t>RITA JULYS MATOS MATOS</t>
  </si>
  <si>
    <t>018-0018820-1</t>
  </si>
  <si>
    <t>DR0826-2024</t>
  </si>
  <si>
    <t>FRANCISCO ALB. MATOS MONTAÑA</t>
  </si>
  <si>
    <t>079-0008809-2</t>
  </si>
  <si>
    <t>DR0827-2024</t>
  </si>
  <si>
    <t>JOSE DEL AMPARO PAULINO FIGUEREO</t>
  </si>
  <si>
    <t>002-0056906-9</t>
  </si>
  <si>
    <t>DR0678-2024</t>
  </si>
  <si>
    <t>OGREDYS ALEXIS FERNANDEZ BENUS</t>
  </si>
  <si>
    <t>001-1652820-9</t>
  </si>
  <si>
    <t>DR0823-2024</t>
  </si>
  <si>
    <t>SAMUEL PEREZ PEÑA</t>
  </si>
  <si>
    <t>001-1274146-7</t>
  </si>
  <si>
    <t>DR00622-2024</t>
  </si>
  <si>
    <t>REGIL CUEVAS</t>
  </si>
  <si>
    <t>022-0023228-4</t>
  </si>
  <si>
    <t>DR0623-2024</t>
  </si>
  <si>
    <t>ENEMENCIO CUSTODIO QUEZADA</t>
  </si>
  <si>
    <t>030-0004286-5</t>
  </si>
  <si>
    <t>DR0800</t>
  </si>
  <si>
    <t>WILIAMS ERNESTO RODRIGUEZ ARIAS</t>
  </si>
  <si>
    <t>003-0070454-1</t>
  </si>
  <si>
    <t>DR0624-2024</t>
  </si>
  <si>
    <t xml:space="preserve">SECUNDINO PEREZ </t>
  </si>
  <si>
    <t>093-0036638-3</t>
  </si>
  <si>
    <t>DR0799-2024</t>
  </si>
  <si>
    <t>ESTEBAN SANTOS MENDEZ</t>
  </si>
  <si>
    <t>003-0064864-9</t>
  </si>
  <si>
    <t>DR0625-2024</t>
  </si>
  <si>
    <t>KERLIN JOSE LOPEZ AGÜERO</t>
  </si>
  <si>
    <t>058-0024863-4</t>
  </si>
  <si>
    <t>DR0677-2024</t>
  </si>
  <si>
    <t>LUIS ALBERTO VASQUEZ LOPEZ</t>
  </si>
  <si>
    <t>001-0945099-9</t>
  </si>
  <si>
    <t>DR0676-2024</t>
  </si>
  <si>
    <t>DORIS MIOSOTI VALDEZ MONTERO</t>
  </si>
  <si>
    <t>012-0081653-4</t>
  </si>
  <si>
    <t>DR0730-2024</t>
  </si>
  <si>
    <t>FRANKLIN BENJAMIN MEDINA MEDINA</t>
  </si>
  <si>
    <t>022-0004617-1</t>
  </si>
  <si>
    <t>DR0640-2024</t>
  </si>
  <si>
    <t xml:space="preserve">VICTOR  DIAZ </t>
  </si>
  <si>
    <t>001-0579720-3</t>
  </si>
  <si>
    <t>DR0825-2024</t>
  </si>
  <si>
    <t>DOMINGO DOMINGUEZ</t>
  </si>
  <si>
    <t>065-0024018-6</t>
  </si>
  <si>
    <t>DR0641-2024</t>
  </si>
  <si>
    <t>HENRY CUELLO</t>
  </si>
  <si>
    <t>002-0012353-7</t>
  </si>
  <si>
    <t>DR0801-2024</t>
  </si>
  <si>
    <t>HECTOR PRIMITIVO DE LOS SANTOS TOLEDO</t>
  </si>
  <si>
    <t>002-0091590-8</t>
  </si>
  <si>
    <t>DR0802-2024</t>
  </si>
  <si>
    <t>RAFAEL EDUARDO TAVAREZ CASTILLO</t>
  </si>
  <si>
    <t>038-0003232-2</t>
  </si>
  <si>
    <t>DR0642-2024</t>
  </si>
  <si>
    <t>JULIO PORFIRIO MELO GONZALEZ</t>
  </si>
  <si>
    <t>010-0057983-7</t>
  </si>
  <si>
    <t>DR0643-2024</t>
  </si>
  <si>
    <t>RAFAEL PAREDES VENTURA</t>
  </si>
  <si>
    <t>061-0018164-0</t>
  </si>
  <si>
    <t>DR0803-2024</t>
  </si>
  <si>
    <t>FILOMENO PEREZ BAUTISTA</t>
  </si>
  <si>
    <t>093-0030117-4</t>
  </si>
  <si>
    <t>DR0681-2024</t>
  </si>
  <si>
    <t>JESUS MARIA ALMONTE VENTURA</t>
  </si>
  <si>
    <t>030-0004972-0</t>
  </si>
  <si>
    <t>DR0675-2024</t>
  </si>
  <si>
    <t>BERNABEL SILVEN ALTAGRACIA</t>
  </si>
  <si>
    <t>066-0013417-2</t>
  </si>
  <si>
    <t>DR0674-2024</t>
  </si>
  <si>
    <t>LUIS RAFAEL DIAZ</t>
  </si>
  <si>
    <t>001-0020558-2</t>
  </si>
  <si>
    <t>DR0729-2024</t>
  </si>
  <si>
    <t>CARLOS JULIO MENDEZ</t>
  </si>
  <si>
    <t>001-0027105-5</t>
  </si>
  <si>
    <t>DR0644-2024</t>
  </si>
  <si>
    <t>VICTOR ANDRES SEGURA GARCIA</t>
  </si>
  <si>
    <t>001-1589953-6</t>
  </si>
  <si>
    <t>DR0645-2024</t>
  </si>
  <si>
    <t>CARLOS ALBERTO ESPINO JAVIER</t>
  </si>
  <si>
    <t>001-0211780-1</t>
  </si>
  <si>
    <t>DR0646-2024</t>
  </si>
  <si>
    <t xml:space="preserve">MARIANO PEREZ </t>
  </si>
  <si>
    <t>001-1174831-5</t>
  </si>
  <si>
    <t>DR0605-2024</t>
  </si>
  <si>
    <t xml:space="preserve">TOMAS ISMAEL  DERICKS CASTRO </t>
  </si>
  <si>
    <t>001-1351137-2</t>
  </si>
  <si>
    <t>DR0850-2024</t>
  </si>
  <si>
    <t>ANDRES LILO MARTINEZ LIRANZO</t>
  </si>
  <si>
    <t>001-1173587-4</t>
  </si>
  <si>
    <t>DR0606-2024</t>
  </si>
  <si>
    <t xml:space="preserve">RAISA  NUÑEZ LANTIGUA </t>
  </si>
  <si>
    <t>001-1178369-2</t>
  </si>
  <si>
    <t>DR0607-2024</t>
  </si>
  <si>
    <t xml:space="preserve">JOSE MIGUEL  BRITO BAEZ </t>
  </si>
  <si>
    <t>001-1175735-7</t>
  </si>
  <si>
    <t>DR0869-2024</t>
  </si>
  <si>
    <t xml:space="preserve">ANGEL MARIA  RESTITUYO RODRIGUEZ </t>
  </si>
  <si>
    <t>001-1175467-7</t>
  </si>
  <si>
    <t>DR0849-2024</t>
  </si>
  <si>
    <t xml:space="preserve">JORGE ALBERTO  OGANDO EUGENIA </t>
  </si>
  <si>
    <t>001-1175088-1</t>
  </si>
  <si>
    <t>DR0848-2024</t>
  </si>
  <si>
    <t>TOMAS FELIZ FELIZ</t>
  </si>
  <si>
    <t>001-1174310-0</t>
  </si>
  <si>
    <t>DR0608-2024</t>
  </si>
  <si>
    <t xml:space="preserve">MARISOL  MOREY ALVAREZ </t>
  </si>
  <si>
    <t>001-0368266-2</t>
  </si>
  <si>
    <t>DR0858-2024</t>
  </si>
  <si>
    <t>RAMONA SOSA RODRIGUEZ</t>
  </si>
  <si>
    <t>001-1173423-2</t>
  </si>
  <si>
    <t>DR0609-2024</t>
  </si>
  <si>
    <t xml:space="preserve">MANUEL RAMON  PEREZ FERNANDEZ </t>
  </si>
  <si>
    <t>031-0254668-0</t>
  </si>
  <si>
    <t>DR0868-2024</t>
  </si>
  <si>
    <t xml:space="preserve">GILBERTO ADRIANO FRIAS LEYBA </t>
  </si>
  <si>
    <t>001-1177693-6</t>
  </si>
  <si>
    <t>DR0610-2024</t>
  </si>
  <si>
    <t>JUAN ROBERTO CASTILLO PEÑA</t>
  </si>
  <si>
    <t>001-1175218-4</t>
  </si>
  <si>
    <t>DR0611-2024</t>
  </si>
  <si>
    <t xml:space="preserve">BENANCIO ESTEFANO MARRERO NOBOA </t>
  </si>
  <si>
    <t>001-1173706-0</t>
  </si>
  <si>
    <t>DR0612-2024</t>
  </si>
  <si>
    <t xml:space="preserve">CONFESOR ANTONIO  ALBERTO DE JESUS </t>
  </si>
  <si>
    <t>001-1175004-8</t>
  </si>
  <si>
    <t>DR0613-2024</t>
  </si>
  <si>
    <t xml:space="preserve">KLAMIVER ANGELICA  GONZALEZ RODRIGUEZ </t>
  </si>
  <si>
    <t>031-0302171-7</t>
  </si>
  <si>
    <t>DR0614-2024</t>
  </si>
  <si>
    <t xml:space="preserve">ANGEL DOMINGO URBAEZ MELLA </t>
  </si>
  <si>
    <t>001-1176352-0</t>
  </si>
  <si>
    <t>DR0615-2024</t>
  </si>
  <si>
    <t xml:space="preserve">RAFAEL DE LA CRUZ  MARMOLEJOS VALDEZ </t>
  </si>
  <si>
    <t>001-1177553-2</t>
  </si>
  <si>
    <t>DR0616-2024</t>
  </si>
  <si>
    <t xml:space="preserve">RAFAEL  CARRASCO GONZALEZ </t>
  </si>
  <si>
    <t>001-1173963-7</t>
  </si>
  <si>
    <t>DR0851-2024</t>
  </si>
  <si>
    <t xml:space="preserve">FELIX MANUEL  MAÑON OZUNA </t>
  </si>
  <si>
    <t>001-1174701-0</t>
  </si>
  <si>
    <t>DR0853-2024</t>
  </si>
  <si>
    <t xml:space="preserve">ANDRES  GONZALEZ NOVAS </t>
  </si>
  <si>
    <t>001-1175917-1</t>
  </si>
  <si>
    <t>DR0852-2024</t>
  </si>
  <si>
    <t>VIRGILIO C. GOMEZ DE LOS SANTOS</t>
  </si>
  <si>
    <t>001-1173639-3</t>
  </si>
  <si>
    <t>DR0617-2024</t>
  </si>
  <si>
    <t>FRANCISCO ALFONSECA GARCIA</t>
  </si>
  <si>
    <t>001-1178310-6</t>
  </si>
  <si>
    <t>DR0618-2024</t>
  </si>
  <si>
    <t>JUAN CAMILO DE JESUS FERNANDEZ</t>
  </si>
  <si>
    <t>001-1178415-3</t>
  </si>
  <si>
    <t>DR0619-2024</t>
  </si>
  <si>
    <t xml:space="preserve">VICTOR CIPRIANO ENCARNACION MARIANO </t>
  </si>
  <si>
    <t>079-0009395-1</t>
  </si>
  <si>
    <t>DR0672-2024</t>
  </si>
  <si>
    <t>JAVIER FRANCISCO ROSARIO CARRASCO</t>
  </si>
  <si>
    <t>001-1174945-3</t>
  </si>
  <si>
    <t>DR0854-2024</t>
  </si>
  <si>
    <t xml:space="preserve">LENIN ALEXANDER MENA RAMOS </t>
  </si>
  <si>
    <t>001-1784595-8</t>
  </si>
  <si>
    <t>DR0714-2024</t>
  </si>
  <si>
    <t>MATILDE CUEVAS BELTRE</t>
  </si>
  <si>
    <t>001-1173505-6</t>
  </si>
  <si>
    <t>DR0816-2024</t>
  </si>
  <si>
    <t xml:space="preserve">NATIVIDAD DE JESUS GURIDY </t>
  </si>
  <si>
    <t>001-1175817-3</t>
  </si>
  <si>
    <t>DR0671-2024</t>
  </si>
  <si>
    <t xml:space="preserve">MERALDO TEJEDA CONCEPCION </t>
  </si>
  <si>
    <t>001-1176502-0</t>
  </si>
  <si>
    <t>DR0715-2024</t>
  </si>
  <si>
    <t xml:space="preserve">JOHANY MARIBEL.  SANCHEZ HENRIQUEZ </t>
  </si>
  <si>
    <t>001-1173311-9</t>
  </si>
  <si>
    <t>POST-OPERATORIO DE RESECCION DE MOE DISCAL; LESION MODULAR INCOMPLETA DISCOPATIA</t>
  </si>
  <si>
    <t>DR0814-2024</t>
  </si>
  <si>
    <t>LUIS ANTONIO TORRES VARGAS</t>
  </si>
  <si>
    <t>001-1173956-1</t>
  </si>
  <si>
    <t>DR0716-2024</t>
  </si>
  <si>
    <t>ROSADELA BAUTISTA NOVA</t>
  </si>
  <si>
    <t>001-1174063-5</t>
  </si>
  <si>
    <t>DR0717-2024</t>
  </si>
  <si>
    <t xml:space="preserve">DANIEL ANTONIO ORTEGA VILLAR </t>
  </si>
  <si>
    <t>001-1173744-1</t>
  </si>
  <si>
    <t>DR0669-2024</t>
  </si>
  <si>
    <t xml:space="preserve">ANDRES  SIRENA SANTANA </t>
  </si>
  <si>
    <t>001-1177454-3</t>
  </si>
  <si>
    <t>DR0670-2024</t>
  </si>
  <si>
    <t>FREDDY LEONER SANCHEZ SANCHEZ</t>
  </si>
  <si>
    <t>001-1175879-3</t>
  </si>
  <si>
    <t>DR0718-2024</t>
  </si>
  <si>
    <t>MARTIRES BATISTA DIAZ</t>
  </si>
  <si>
    <t>001-1173100-6</t>
  </si>
  <si>
    <t>DR0719-2024</t>
  </si>
  <si>
    <t xml:space="preserve">EDDY ANTONIO  PAULINO GOMEZ </t>
  </si>
  <si>
    <t>097-0017172-2</t>
  </si>
  <si>
    <t>DR0720-2024</t>
  </si>
  <si>
    <t xml:space="preserve">MARLEN RAFAELA GIL BONIFACIO </t>
  </si>
  <si>
    <t>008-0021706-9</t>
  </si>
  <si>
    <t>DR0721-2024</t>
  </si>
  <si>
    <t>DIOGENES RAMON MARTINEZ ALMONTE</t>
  </si>
  <si>
    <t>034-0042241-0</t>
  </si>
  <si>
    <t>DR0722-2024</t>
  </si>
  <si>
    <t>DANIEL IPRAEL BERROA</t>
  </si>
  <si>
    <t>001-1386855-8</t>
  </si>
  <si>
    <t>DR0723-2024</t>
  </si>
  <si>
    <t>GEOVANNY BLANCO GENAO</t>
  </si>
  <si>
    <t>001-0250767-0</t>
  </si>
  <si>
    <t>DR0668-2024</t>
  </si>
  <si>
    <t>FABIO ALBERTO ROMERO CUEVAS</t>
  </si>
  <si>
    <t>021-0006918-2</t>
  </si>
  <si>
    <t>DR0724-2024</t>
  </si>
  <si>
    <t xml:space="preserve">BALENTIN ERNESTO  DUVERGES PENA </t>
  </si>
  <si>
    <t>073-0013350-6</t>
  </si>
  <si>
    <t>DR0821-2024</t>
  </si>
  <si>
    <t>SANTOS RAMIREZ DE LOS SANTOS</t>
  </si>
  <si>
    <t>001-1177055-8</t>
  </si>
  <si>
    <t>DR0725-2024</t>
  </si>
  <si>
    <t xml:space="preserve">HAROLD A.  MERCEDES SANCHEZ </t>
  </si>
  <si>
    <t>001-1191461-0</t>
  </si>
  <si>
    <t>DR0824-2024</t>
  </si>
  <si>
    <t xml:space="preserve">JACINTA  GOMEZ VALDEZ </t>
  </si>
  <si>
    <t>001-0830133-4</t>
  </si>
  <si>
    <t>DR0860-2024</t>
  </si>
  <si>
    <t xml:space="preserve">SALVADOR ALBERTO SUERO MOLINA </t>
  </si>
  <si>
    <t>001-1177561-5</t>
  </si>
  <si>
    <t>DR0726-2024</t>
  </si>
  <si>
    <t>JUDITH MARINA TAVAREZ JAQUEZ</t>
  </si>
  <si>
    <t>001-1140960-3</t>
  </si>
  <si>
    <t>DR0627-2024</t>
  </si>
  <si>
    <t>CIRILO CONCEPCION SABINO</t>
  </si>
  <si>
    <t>001-1177043-4</t>
  </si>
  <si>
    <t>DR0628-2024</t>
  </si>
  <si>
    <t xml:space="preserve">LUCRECIA  BELEN HERNANDEZ </t>
  </si>
  <si>
    <t>001-1174677-2</t>
  </si>
  <si>
    <t>DR0629-2024</t>
  </si>
  <si>
    <t xml:space="preserve">MARTIN DE JESUS ALBA FERIZ </t>
  </si>
  <si>
    <t>001-1176424-7</t>
  </si>
  <si>
    <t>DR0727-2024</t>
  </si>
  <si>
    <t xml:space="preserve">CRISTIAN MIGUEL  PEREZ PINEDA </t>
  </si>
  <si>
    <t>001-1177432-9</t>
  </si>
  <si>
    <t>DR0630-2024</t>
  </si>
  <si>
    <t>ROBERTO GENAO DIAZ</t>
  </si>
  <si>
    <t>001-1178003-7</t>
  </si>
  <si>
    <t>DR0631-2024</t>
  </si>
  <si>
    <t>JUAN ABAD</t>
  </si>
  <si>
    <t>001-1174147-6</t>
  </si>
  <si>
    <t>DR0632-2024</t>
  </si>
  <si>
    <t>PASCUAL SANTOS PITER</t>
  </si>
  <si>
    <t>001-1175965-0</t>
  </si>
  <si>
    <t>DR0633-2024</t>
  </si>
  <si>
    <t>JUDITH M. GOMEZ CAMACHO</t>
  </si>
  <si>
    <t>001-0801101-6</t>
  </si>
  <si>
    <t>DR0728-2024</t>
  </si>
  <si>
    <t>RAMON ANDRES PUELLO DISLA</t>
  </si>
  <si>
    <t>001-1269555-6</t>
  </si>
  <si>
    <t>DR0634-2024</t>
  </si>
  <si>
    <t>ROMULO CASILLA FERMIN</t>
  </si>
  <si>
    <t>001-0924889-8</t>
  </si>
  <si>
    <t>DR0635-2024</t>
  </si>
  <si>
    <t>FRAY LUIS MEDINA BATISTA</t>
  </si>
  <si>
    <t>001-1375901-3</t>
  </si>
  <si>
    <t>DR0756-2024</t>
  </si>
  <si>
    <t>JUAN YSIDRO VIDAL BRITO</t>
  </si>
  <si>
    <t>008-0001939-0</t>
  </si>
  <si>
    <t>DR0363.24</t>
  </si>
  <si>
    <t>GREGORIO JOSE REGALADO MESSON</t>
  </si>
  <si>
    <t>049-0050859-1</t>
  </si>
  <si>
    <t>DR0791-2024</t>
  </si>
  <si>
    <t>ROBERT NUÑEZ DOMINGUEZ</t>
  </si>
  <si>
    <t>071-0045665-1</t>
  </si>
  <si>
    <t>DR0637-2024</t>
  </si>
  <si>
    <t xml:space="preserve">RUBEN DARIO LOPEZ DE LOS SANTOS </t>
  </si>
  <si>
    <t>004-0017796-0</t>
  </si>
  <si>
    <t>DR0759-2024</t>
  </si>
  <si>
    <t xml:space="preserve">JOAN A. ARIAS GOMEZ </t>
  </si>
  <si>
    <t>001-1661005-6</t>
  </si>
  <si>
    <t>DR0638-2024</t>
  </si>
  <si>
    <t>GERALDO DE JESUS</t>
  </si>
  <si>
    <t>001-0982879-8</t>
  </si>
  <si>
    <t>DR0758-2024</t>
  </si>
  <si>
    <t>ADRIANO FELIPE DE JESUS ROJAS</t>
  </si>
  <si>
    <t>001-1400506-9</t>
  </si>
  <si>
    <t>DR0762-2024</t>
  </si>
  <si>
    <t>JOSE DIAZ DE LA ROSA</t>
  </si>
  <si>
    <t>005-0030813-5</t>
  </si>
  <si>
    <t>DR0757-2024</t>
  </si>
  <si>
    <t>ERIC DAMIAN DIAZ BURGOS</t>
  </si>
  <si>
    <t>001-1724894-8</t>
  </si>
  <si>
    <t>DR0761-2024</t>
  </si>
  <si>
    <t>RAFAEL ANTONIO SEGURA FLORIAN</t>
  </si>
  <si>
    <t>001-1174897-6</t>
  </si>
  <si>
    <t>DR0760-2024</t>
  </si>
  <si>
    <t>JUAN ANT. ACOSTA ALCANTARA</t>
  </si>
  <si>
    <t>001-1176679-6</t>
  </si>
  <si>
    <t>DR0667-2024</t>
  </si>
  <si>
    <t xml:space="preserve">ENELVIDO GONZALEZ </t>
  </si>
  <si>
    <t>004-0016382-0</t>
  </si>
  <si>
    <t>NO UTILIABLE</t>
  </si>
  <si>
    <t>DR0763-2024</t>
  </si>
  <si>
    <t>JUAN O. PEGUERO MERCEDES</t>
  </si>
  <si>
    <t>027-0002362-1</t>
  </si>
  <si>
    <t>DR0647-2024</t>
  </si>
  <si>
    <t>GIVANNA JUSTINIANA TEJADA FLORES</t>
  </si>
  <si>
    <t>001-1313722-8</t>
  </si>
  <si>
    <t>DR0648-2024</t>
  </si>
  <si>
    <t xml:space="preserve">MANUEL E. DE JESUS GARCES CUEVAS </t>
  </si>
  <si>
    <t>001-1166621-0</t>
  </si>
  <si>
    <t>DR0765-2024</t>
  </si>
  <si>
    <t>KELYN CUEVAS DE LOS SANTOS</t>
  </si>
  <si>
    <t>019-0013511-0</t>
  </si>
  <si>
    <t>DR0764-2024</t>
  </si>
  <si>
    <t>buscar exp.</t>
  </si>
  <si>
    <t>JOSE RAFAEL TAVAREZ PADILLA</t>
  </si>
  <si>
    <t>037-0074978-5</t>
  </si>
  <si>
    <t>DR0649-2024</t>
  </si>
  <si>
    <t>JOSUE VENTURA TOLLINCHI</t>
  </si>
  <si>
    <t>001-0922509-4</t>
  </si>
  <si>
    <t>DR0786-2024</t>
  </si>
  <si>
    <t>ROBINSON MARIÑEZ SOTO</t>
  </si>
  <si>
    <t>011-0024683-2</t>
  </si>
  <si>
    <t>DR0788-2024</t>
  </si>
  <si>
    <t>ANDRY ALCANTARA MERAN</t>
  </si>
  <si>
    <t>011-0031568-6</t>
  </si>
  <si>
    <t>DR0650-2024</t>
  </si>
  <si>
    <t>DALMA IRIS VALENZUELA ALCANTARA</t>
  </si>
  <si>
    <t>001-1176433-8</t>
  </si>
  <si>
    <t>DR0783-2024</t>
  </si>
  <si>
    <t>CESAR ALBERTO TAVERAS CACERES</t>
  </si>
  <si>
    <t>054-0006284-9</t>
  </si>
  <si>
    <t>DR0790-2024</t>
  </si>
  <si>
    <t>ROBERTO FRANKLIN GENAO GARCIA</t>
  </si>
  <si>
    <t>090-0005317-4</t>
  </si>
  <si>
    <t>DR0651-2024</t>
  </si>
  <si>
    <t>RAFAEL JAVIER</t>
  </si>
  <si>
    <t>001-1169189-5</t>
  </si>
  <si>
    <t>DR0652-2024</t>
  </si>
  <si>
    <t xml:space="preserve">EDMILLER RAFAEL  HIDALGO GONZALEZ </t>
  </si>
  <si>
    <t>001-1651664-2</t>
  </si>
  <si>
    <t>DR0789-2024</t>
  </si>
  <si>
    <t>JUAN REYES</t>
  </si>
  <si>
    <t>027-0034248-4</t>
  </si>
  <si>
    <t>DR0653-2024</t>
  </si>
  <si>
    <t>RAUL RAMON PONCIANO SANTOS</t>
  </si>
  <si>
    <t>008-0023479-1</t>
  </si>
  <si>
    <t>DR0774-2024</t>
  </si>
  <si>
    <t xml:space="preserve">OSCAR W. DE LA ROSA MADE </t>
  </si>
  <si>
    <t>016-0014405-7</t>
  </si>
  <si>
    <t>DR0779-2024</t>
  </si>
  <si>
    <t>LUIS  DIAZ SANTANA</t>
  </si>
  <si>
    <t>001-1637804-3</t>
  </si>
  <si>
    <t>DR0778-2024</t>
  </si>
  <si>
    <t>OTILIO SENCION MATOS</t>
  </si>
  <si>
    <t>010-0033675-8</t>
  </si>
  <si>
    <t>DR0777-2024</t>
  </si>
  <si>
    <t>DOMINGO KING MARTE</t>
  </si>
  <si>
    <t>001-1330640-1</t>
  </si>
  <si>
    <t>DR0655-2024</t>
  </si>
  <si>
    <t>JOSE L. VARONA MARTINEZ</t>
  </si>
  <si>
    <t>001-1272258-2</t>
  </si>
  <si>
    <t>DR0822-2024</t>
  </si>
  <si>
    <t>JUAN ADON SORIANO</t>
  </si>
  <si>
    <t>001-0591857-7</t>
  </si>
  <si>
    <t>DR0654-2024</t>
  </si>
  <si>
    <t>JACQUELINE M. PANTALEON MENA</t>
  </si>
  <si>
    <t>001-1163166-9</t>
  </si>
  <si>
    <t>DR0656-2024</t>
  </si>
  <si>
    <t>FELICIA ALT. MERCEDES PEREZ</t>
  </si>
  <si>
    <t>001-0633053-3</t>
  </si>
  <si>
    <t>DR0657-2024</t>
  </si>
  <si>
    <t xml:space="preserve">VIRGILIO GUILLEN </t>
  </si>
  <si>
    <t>001-0603442-4</t>
  </si>
  <si>
    <t>DR0658-2024</t>
  </si>
  <si>
    <t xml:space="preserve">ANDREA MIREYA MENDEZ </t>
  </si>
  <si>
    <t>001-0633037-6</t>
  </si>
  <si>
    <t>POR RAZONES DE EDAD</t>
  </si>
  <si>
    <t>DR0659-2024</t>
  </si>
  <si>
    <t xml:space="preserve">TEOFILO GARCIA GARCIA </t>
  </si>
  <si>
    <t>097-0014334-1</t>
  </si>
  <si>
    <t>DR0794-2024</t>
  </si>
  <si>
    <t>pedir cert. Tiempo</t>
  </si>
  <si>
    <t xml:space="preserve">LUISA YSABEL SANTANA </t>
  </si>
  <si>
    <t>001-0633801-5</t>
  </si>
  <si>
    <t>DR0662-2024</t>
  </si>
  <si>
    <t xml:space="preserve">YANETT ALTAGRACIA REYES BAEZ </t>
  </si>
  <si>
    <t>001-0801684-1</t>
  </si>
  <si>
    <t>DR0770-2024</t>
  </si>
  <si>
    <t xml:space="preserve">FERMINA  MARTE PEGUERO </t>
  </si>
  <si>
    <t>001-0632359-5</t>
  </si>
  <si>
    <t>DR0769-2024</t>
  </si>
  <si>
    <t>PABLO CANO SANTANA</t>
  </si>
  <si>
    <t>037-0025962-9</t>
  </si>
  <si>
    <t>DR0768-2024</t>
  </si>
  <si>
    <t>FRANCISCA CONRADO</t>
  </si>
  <si>
    <t>001-0632730-7</t>
  </si>
  <si>
    <t>DR0663-2025</t>
  </si>
  <si>
    <t>RAMON CEFERINO SOSA</t>
  </si>
  <si>
    <t>001-0198464-9</t>
  </si>
  <si>
    <t>DR0664-2024</t>
  </si>
  <si>
    <t>JUAN BIENVENIDO TORRES</t>
  </si>
  <si>
    <t>001-0598856-2</t>
  </si>
  <si>
    <t>DR0665-2024</t>
  </si>
  <si>
    <t>GUILLERMO CALZADO</t>
  </si>
  <si>
    <t>001-0632657-2</t>
  </si>
  <si>
    <t>DR0771-2024</t>
  </si>
  <si>
    <t>BIENVENIDO REYNOSO GARCÍA</t>
  </si>
  <si>
    <t>001-0265698-0</t>
  </si>
  <si>
    <t>DR0793-2024</t>
  </si>
  <si>
    <t xml:space="preserve">JULIO CESAR  NUÑEZ ENCARNACION </t>
  </si>
  <si>
    <t>001-1253544-8</t>
  </si>
  <si>
    <t>DR0817-2024</t>
  </si>
  <si>
    <t>SONIA ROSARIO VELOZ</t>
  </si>
  <si>
    <t>097-0015946-1</t>
  </si>
  <si>
    <t>DR0767-2024</t>
  </si>
  <si>
    <t>MARIA ALT. MEREJO DE ROJAS</t>
  </si>
  <si>
    <t>001-0633582-1</t>
  </si>
  <si>
    <t>DR0666-2024</t>
  </si>
  <si>
    <t xml:space="preserve">MARTIRES  JAVIER </t>
  </si>
  <si>
    <t>001-1002821-4</t>
  </si>
  <si>
    <t>DR0820-2024</t>
  </si>
  <si>
    <t>MARIA EDUVIGES DE LA ALTA. PEREZ NATERA</t>
  </si>
  <si>
    <t>001-0913583-0</t>
  </si>
  <si>
    <t>DR0795-2024</t>
  </si>
  <si>
    <t>JUAN MANUEL RAMON ORTEGA VERGES</t>
  </si>
  <si>
    <t>001-0653919-0</t>
  </si>
  <si>
    <t>DR0796-2024</t>
  </si>
  <si>
    <t xml:space="preserve">JUAN FCO.  VIZCAINO SEPTIMO </t>
  </si>
  <si>
    <t>001-0597985-0</t>
  </si>
  <si>
    <t>CANCER DE PROSTATA</t>
  </si>
  <si>
    <t>DR0863-2024</t>
  </si>
  <si>
    <t>LUIS ROBERTO DE JESUS ROMERO MEREJO</t>
  </si>
  <si>
    <t>001-0069552-7</t>
  </si>
  <si>
    <t>DR0731-2024</t>
  </si>
  <si>
    <t>CARMEN LUISA MARTINEZ</t>
  </si>
  <si>
    <t>031-0047261-6</t>
  </si>
  <si>
    <t>DR0741-2024</t>
  </si>
  <si>
    <t>MARIA HEREDIA DE JESUS</t>
  </si>
  <si>
    <t>001-0617546-6</t>
  </si>
  <si>
    <t>DR0732-2024</t>
  </si>
  <si>
    <t xml:space="preserve">LUCINDA DE LOS SANTOS </t>
  </si>
  <si>
    <t>001-0632039-3</t>
  </si>
  <si>
    <t>DR0733-2024</t>
  </si>
  <si>
    <t>ADELIZA BELTRE RAMIREZ</t>
  </si>
  <si>
    <t>001-0679835-8</t>
  </si>
  <si>
    <t>DR0734-2024</t>
  </si>
  <si>
    <t>MARIA MAGDALENA ALCANTARA</t>
  </si>
  <si>
    <t>001--0753503-1</t>
  </si>
  <si>
    <t>DR0735-2024</t>
  </si>
  <si>
    <t>AVELIDIA  TERRERO  SENA</t>
  </si>
  <si>
    <t>001-1167821-5</t>
  </si>
  <si>
    <t>DR0736-2024</t>
  </si>
  <si>
    <t>ADINA DE  JESUS DE HOLGUIN</t>
  </si>
  <si>
    <t>001-0830206-8</t>
  </si>
  <si>
    <t>DR0737-2024</t>
  </si>
  <si>
    <t>MERIDA CESARINA HERASME MONTAS</t>
  </si>
  <si>
    <t>002-0076502-2</t>
  </si>
  <si>
    <t>DR0738-2024</t>
  </si>
  <si>
    <t>DAISY MARIA GUZMAN  LOPEZ</t>
  </si>
  <si>
    <t>001-0576821-2</t>
  </si>
  <si>
    <t>DR0739-2024</t>
  </si>
  <si>
    <t>AIDA  ERNESTINA ECHAVARRIA  MOTA</t>
  </si>
  <si>
    <t>027-0029966-8</t>
  </si>
  <si>
    <t>DR0811-2024</t>
  </si>
  <si>
    <t>RAFAEL QUEZADA  LENDERBOL</t>
  </si>
  <si>
    <t>001-0527892-3</t>
  </si>
  <si>
    <t>DR0813-2024</t>
  </si>
  <si>
    <t>ZENEIDA BARSABAS CEBALLOS  MARTE</t>
  </si>
  <si>
    <t>001-0243932-0</t>
  </si>
  <si>
    <t>DR0812-2024</t>
  </si>
  <si>
    <t>ADELA RAMIREZ JORGE</t>
  </si>
  <si>
    <t>001-0564632-7</t>
  </si>
  <si>
    <t>DR0740-2024</t>
  </si>
  <si>
    <t>EUCEBIA MORETA</t>
  </si>
  <si>
    <t>018-0034331-9</t>
  </si>
  <si>
    <t>DR0818-2024</t>
  </si>
  <si>
    <t>SERGIO  F. MORETA  MARMOLEJOS</t>
  </si>
  <si>
    <t>080-0002074-6</t>
  </si>
  <si>
    <t>CANCER DE PRSTATA</t>
  </si>
  <si>
    <t>FEDERICO  MONTAN  NUÑEZ</t>
  </si>
  <si>
    <t>039-0011879-9</t>
  </si>
  <si>
    <t>DR0872-2024</t>
  </si>
  <si>
    <t>MANUEL  D. FELIZ  CARRASCO</t>
  </si>
  <si>
    <t>001-1155711-2</t>
  </si>
  <si>
    <t>PROTRUSION DISCAL CENTRAL L4-L5 CON ESTENOSIS FOMAMINAL</t>
  </si>
  <si>
    <t>DR0877-2024</t>
  </si>
  <si>
    <t xml:space="preserve">DOMINGO  EMILIANO SANCHEZ </t>
  </si>
  <si>
    <t>001-0787924-9</t>
  </si>
  <si>
    <t>SINDROME DE DEFICIT DE FUNCIONES MENTALES SUPERIRORES; SINDROM,E DE DEFICIT PIRAMIDAL IZQUIERDO; TUMOR CEREBRAL DERECHO CON EDEMA CEREBRAL</t>
  </si>
  <si>
    <t>DR0867-2024</t>
  </si>
  <si>
    <t>DISCAPACIDAD</t>
  </si>
  <si>
    <t>INHABILIDAD FISICA</t>
  </si>
  <si>
    <t xml:space="preserve">FUNCIÓN OCUPADA </t>
  </si>
  <si>
    <t>TOTAL DE PENSIÓN DE VOLUNTARIO DEL ARD.</t>
  </si>
  <si>
    <t>MONTO VOL. ARD.</t>
  </si>
  <si>
    <t>DR0866-2024</t>
  </si>
  <si>
    <t>DEPARTAMENTO NACIONAL DE INVENTIGACIONES (DNI)</t>
  </si>
  <si>
    <t>RELACIÓN DE LOS MIEMBROS DE LAS FUERZAS ARMADAS, QUE FUERON COLOCADOS EN SITUACION DE RETIRO EN LA SESIÓN DEL PLENO CELEBRADO EN EL MES DE MARZO DEL AÑO 2024, CONFORME A LO ESTABLECIDO  EN LA LEY NO. 873 DEL 31/07/1978 Y LA NO.139-13 DEL 13 DE SEPTIEMBRE DEL AÑO 2013, LEY ORGÁNICA DE LAS FUERZAS ARMADAS.</t>
  </si>
  <si>
    <t>ANTIGÜEDAD EN EL SERVICIO</t>
  </si>
  <si>
    <t>DISPOSICION PRESIDENCIAL</t>
  </si>
  <si>
    <t>RANGO Y EDAD</t>
  </si>
  <si>
    <t>RANGO Y EDAD Y LIMITE MAXIMO DE EDAD</t>
  </si>
  <si>
    <t>EDAD Y LIMITE MAXIMO DE EDAD</t>
  </si>
  <si>
    <t>MARIELA R. JACOBO DE LEON</t>
  </si>
  <si>
    <t>001-1277773-5</t>
  </si>
  <si>
    <t>LEOCADIO LIMA LIMA</t>
  </si>
  <si>
    <t>031-0300551-2</t>
  </si>
  <si>
    <t>MATIAS  FELIZ ANGOMAS</t>
  </si>
  <si>
    <t>001-1166151-8</t>
  </si>
  <si>
    <t>PATRICIA MARIA ALVAREZ FELIZ</t>
  </si>
  <si>
    <t>001-0974446-6</t>
  </si>
  <si>
    <t>CARMEN LUISA MONTERO MONTERO</t>
  </si>
  <si>
    <t>002-0062798-2</t>
  </si>
  <si>
    <t>7Y10% SOLICITADO</t>
  </si>
  <si>
    <t>PEDRO  CUEVAS CUEVAS</t>
  </si>
  <si>
    <t>076-0014973-1</t>
  </si>
  <si>
    <t>JOSE MANUEL MATOS Y MATOS</t>
  </si>
  <si>
    <t>001-1168026-0</t>
  </si>
  <si>
    <t>JOSE ALTAGRACIA NOVAS PEREZ</t>
  </si>
  <si>
    <t>020-0010998-9</t>
  </si>
  <si>
    <t>LUCIANO  DEAZA REYES</t>
  </si>
  <si>
    <t>001-1169729-8</t>
  </si>
  <si>
    <t>GERALD A. SOSA CASTELLANO</t>
  </si>
  <si>
    <t>034-0007831-1</t>
  </si>
  <si>
    <t>DEBE DE TRAER CERT. QUE ESPECIFIQUE LA FECHA DE SALIDA DE LA POSICION</t>
  </si>
  <si>
    <t>MIGUEL ANTONIO NOVA MEDRANO</t>
  </si>
  <si>
    <t>001-1202415-3</t>
  </si>
  <si>
    <t xml:space="preserve">PATRICIO  PEREZ </t>
  </si>
  <si>
    <t>001-0640509-5</t>
  </si>
  <si>
    <t>ARTEMIO DE LOS SANTOS REYES</t>
  </si>
  <si>
    <t>001-1168635-8</t>
  </si>
  <si>
    <t>GELSON M. BENZO PINEDA</t>
  </si>
  <si>
    <t>001-1274025-3</t>
  </si>
  <si>
    <t>ENRIQUE  GERONIMO MERCEDES</t>
  </si>
  <si>
    <t>001-1165824-1</t>
  </si>
  <si>
    <t>MENOS DE UN 50% DE SU DISCAPACIDAD</t>
  </si>
  <si>
    <t>CESAR ISRAEL MINIEL ROMERO</t>
  </si>
  <si>
    <t>001-1445428-3</t>
  </si>
  <si>
    <t>ELPIDIO  MARTINEZ ROSARIO</t>
  </si>
  <si>
    <t>001-1172087-6</t>
  </si>
  <si>
    <t>MARTIN  BONILLA CAMBERO</t>
  </si>
  <si>
    <t>001-0556687-1</t>
  </si>
  <si>
    <t>FRANKLIN E. MENDEZ SOTO</t>
  </si>
  <si>
    <t>013-0034730-7</t>
  </si>
  <si>
    <t>VERONICA LUISA PEÑA DIAZ</t>
  </si>
  <si>
    <t>101-0006171-1</t>
  </si>
  <si>
    <t>MANUEL  NOVAS GONZALEZ</t>
  </si>
  <si>
    <t>020-0011223-1</t>
  </si>
  <si>
    <t>MIRIDIO ANT. CUEVAS VASQUEZ</t>
  </si>
  <si>
    <t>001-1168905-5</t>
  </si>
  <si>
    <t>CASIMIRO  OGANDO DE LOS SANTOS</t>
  </si>
  <si>
    <t>001-1168716-6</t>
  </si>
  <si>
    <t>MAURICIO  JIMENEZ NOVAS</t>
  </si>
  <si>
    <t>012-0069979-9</t>
  </si>
  <si>
    <t>JUAN BAUTISTA MEDINA FLORIAN</t>
  </si>
  <si>
    <t>077-0003291-0</t>
  </si>
  <si>
    <t>RICARDO  RIJO RODRIGUEZ</t>
  </si>
  <si>
    <t>026-0075956-3</t>
  </si>
  <si>
    <t>RAMON YSIDRO CUEVAS REYES</t>
  </si>
  <si>
    <t>070-0004378-1</t>
  </si>
  <si>
    <t>DOMINGO ANTONIO FLORES MENDEZ</t>
  </si>
  <si>
    <t>070-0004210-6</t>
  </si>
  <si>
    <t>FAUSTINO  BAUTISTA PEREZ</t>
  </si>
  <si>
    <t>015-0004096-7</t>
  </si>
  <si>
    <t>CARLOS M. SANCHEZ CEBALLOS</t>
  </si>
  <si>
    <t>001-1710627-8</t>
  </si>
  <si>
    <t>ANGEL ANT. ESTEVEZ AMADOR</t>
  </si>
  <si>
    <t>069-0005954-1</t>
  </si>
  <si>
    <t>JUAN ROBERTO VARGAS LEOCADIO</t>
  </si>
  <si>
    <t>001-1169978-1</t>
  </si>
  <si>
    <t xml:space="preserve">JONATHAN R. MORDAN </t>
  </si>
  <si>
    <t>001-1238050-6</t>
  </si>
  <si>
    <t>FERMIN  LORENZO Y LORENZO</t>
  </si>
  <si>
    <t>016-0011801-0</t>
  </si>
  <si>
    <t>CARMEN CRISTINA CASTILLO DE CASTRO</t>
  </si>
  <si>
    <t>001-1373969-2</t>
  </si>
  <si>
    <t xml:space="preserve">REY ENRIQUE PAYANO </t>
  </si>
  <si>
    <t>001-0507420-7</t>
  </si>
  <si>
    <t>CARLOS  VALDEZ CARABALLO</t>
  </si>
  <si>
    <t>008-0021705-1</t>
  </si>
  <si>
    <t>LUIS  MENDEZ DE LA ROSA</t>
  </si>
  <si>
    <t>001-0777295-6</t>
  </si>
  <si>
    <t>LUISA ALT. GOMEZ CORNIEL</t>
  </si>
  <si>
    <t>056-0131404-9</t>
  </si>
  <si>
    <t>RAFAEL  VALDEZ ALCANTARA</t>
  </si>
  <si>
    <t>016-0011675-8</t>
  </si>
  <si>
    <t>PEDRO IGNACIO PORTE TAPIA</t>
  </si>
  <si>
    <t>001-1170156-1</t>
  </si>
  <si>
    <t>AGUSTIN DE LA CRUZ MATOS</t>
  </si>
  <si>
    <t>018-0045006-4</t>
  </si>
  <si>
    <t>SOLANO  NOVAS PEREZ</t>
  </si>
  <si>
    <t>011-0026057-7</t>
  </si>
  <si>
    <t>JUAN LUIS TEJADA EMILIANO</t>
  </si>
  <si>
    <t>001-1177019-4</t>
  </si>
  <si>
    <t xml:space="preserve">LORENZO  SANCHEZ </t>
  </si>
  <si>
    <t>001-1188967-1</t>
  </si>
  <si>
    <t>ERNESTINO  AQUINO OFRER</t>
  </si>
  <si>
    <t>016-0011803-6</t>
  </si>
  <si>
    <t>FRANCISCO  NIN ENCARNACION</t>
  </si>
  <si>
    <t>076-0014842-8</t>
  </si>
  <si>
    <t>LEVIN MENCIA MOQUETE MICHEL</t>
  </si>
  <si>
    <t>023-0025441-0</t>
  </si>
  <si>
    <t>ANGEL  MORILLO MORILLO</t>
  </si>
  <si>
    <t>001-1169144-0</t>
  </si>
  <si>
    <t>MAS DE UN 50% DE SU DISCAPACIDAD</t>
  </si>
  <si>
    <t>RAMON DE LOS SANTOS ENCARNACION</t>
  </si>
  <si>
    <t>001-0562997-6</t>
  </si>
  <si>
    <t>PATRICIO TSE. ANIBAL LOPEZ FERNANDEZ</t>
  </si>
  <si>
    <t>001-1374255-5</t>
  </si>
  <si>
    <t>FRANCISCO A. CABRERA MEJIA</t>
  </si>
  <si>
    <t>011-0020390-8</t>
  </si>
  <si>
    <t>EX - SEGUNDO TENIENTE</t>
  </si>
  <si>
    <t>VICTOR  HEREDIA DE LEON</t>
  </si>
  <si>
    <t>005-0032188-0</t>
  </si>
  <si>
    <t>FALTAS GRAVES DEBD. COMPR.</t>
  </si>
  <si>
    <t>DULCE MARIA NOVA DE ORTIZ</t>
  </si>
  <si>
    <t>001-0281149-4</t>
  </si>
  <si>
    <t>EUSEBIO  VELOZ CASTILLO</t>
  </si>
  <si>
    <t>053-0024778-9</t>
  </si>
  <si>
    <t>RAFAEL PORFIRIO DOMINGUEZ DE LA ROSA</t>
  </si>
  <si>
    <t>053-0026347-1</t>
  </si>
  <si>
    <t>MARINO ESTEBAN DIAZ ESCALANTE</t>
  </si>
  <si>
    <t>001-0118268-1</t>
  </si>
  <si>
    <t>FELIX ALCIDE RAMIREZ MERAN</t>
  </si>
  <si>
    <t>001-1169152-3</t>
  </si>
  <si>
    <t>SOL A. SURSONA MATOS</t>
  </si>
  <si>
    <t>077-0004037-6</t>
  </si>
  <si>
    <t>OSCAR L. RODRIGUEZ MENCIA</t>
  </si>
  <si>
    <t>001-1145146-4</t>
  </si>
  <si>
    <t>MANUEL FELIPE ALMON REYES</t>
  </si>
  <si>
    <t>001-1276283-6</t>
  </si>
  <si>
    <t xml:space="preserve">ANTONIO  VALDEZ </t>
  </si>
  <si>
    <t>001-0662094-1</t>
  </si>
  <si>
    <t>RAFAEL  MARTE MONTERO</t>
  </si>
  <si>
    <t>001-1040247-6</t>
  </si>
  <si>
    <t>GEORGINA  MATOS RUIZ</t>
  </si>
  <si>
    <t>018-0047283-7</t>
  </si>
  <si>
    <t>JORGE  JIMENEZ ALCANTARA</t>
  </si>
  <si>
    <t>011-0031401-0</t>
  </si>
  <si>
    <t>TEODORO  MEDINA SENA</t>
  </si>
  <si>
    <t>022-0015255-7</t>
  </si>
  <si>
    <t>ANGEL B. NOVAS PEREZ.</t>
  </si>
  <si>
    <t>077-0005524-2</t>
  </si>
  <si>
    <t xml:space="preserve">JOHNNY  EVANGELISTA </t>
  </si>
  <si>
    <t>001-1050246-5</t>
  </si>
  <si>
    <t>CRISTOBAL  AYBAR GUERRERO</t>
  </si>
  <si>
    <t>002-0069178-0</t>
  </si>
  <si>
    <t>GISELLE  VASQUEZ TOLEDO</t>
  </si>
  <si>
    <t>001-1520185-7</t>
  </si>
  <si>
    <t>DORA MELISSA ROA OCHOA</t>
  </si>
  <si>
    <t>001-1609454-1</t>
  </si>
  <si>
    <t>ROBERTO  CABRERA MATOS</t>
  </si>
  <si>
    <t>018-0033396-3</t>
  </si>
  <si>
    <t>BLADIMIR  SMELIN JOSE</t>
  </si>
  <si>
    <t>001-0582491-6</t>
  </si>
  <si>
    <t>NATIVIDAD CRUZ EMILIA FELIPE JIMENEZ</t>
  </si>
  <si>
    <t>010-0004645-6</t>
  </si>
  <si>
    <t>RAMON MANUEL RODRIGUEZ AMADIS</t>
  </si>
  <si>
    <t>001-1103461-7</t>
  </si>
  <si>
    <t>JUAN ARCENIO DE LA CRUZ SEVERINO</t>
  </si>
  <si>
    <t>049-0050602-5</t>
  </si>
  <si>
    <t>ANGELO ALBERTO MOTA BREA</t>
  </si>
  <si>
    <t>023-0093561-2</t>
  </si>
  <si>
    <t>JOSE MANUEL DE LA ROSA MATOS</t>
  </si>
  <si>
    <t>069-0006068-9</t>
  </si>
  <si>
    <t>RUBEN DARIO PEÑA MATOS</t>
  </si>
  <si>
    <t>001-1179917-7</t>
  </si>
  <si>
    <t>SUB-DIRECTOR INMOBILIARIA, DIRECCIONCUERPO JURIDICO, ARD. (NO SE APLICO FUNCION POR QUE DEBE ESPECIFICAR FECHA DE SALIDA DE LA FUNCION)</t>
  </si>
  <si>
    <t xml:space="preserve">FRANKLI LEONARDO HIDALGO </t>
  </si>
  <si>
    <t>003-0069841-2</t>
  </si>
  <si>
    <t>JOSE LUIS CABRERA SALDAÑA</t>
  </si>
  <si>
    <t>001-1178899-8</t>
  </si>
  <si>
    <t>MIGUEL ANT. MATOS TRINIDAD</t>
  </si>
  <si>
    <t>078-0009384-6</t>
  </si>
  <si>
    <t>NARCISO JESUS HERNANDEZ DUARTE</t>
  </si>
  <si>
    <t>001-1193301-6</t>
  </si>
  <si>
    <t>RAMON PASTOR SEVERINO ALMARANTE</t>
  </si>
  <si>
    <t>001-1202665-3</t>
  </si>
  <si>
    <t>JUNIOR  MEJIA DE LA ROSA</t>
  </si>
  <si>
    <t>023-0093579-4</t>
  </si>
  <si>
    <t>RAFAELA  MORILLO VALENZUELA</t>
  </si>
  <si>
    <t>001-1343811-3</t>
  </si>
  <si>
    <t>NELSON  GUZMAN PEREZ</t>
  </si>
  <si>
    <t>011-0025175-8</t>
  </si>
  <si>
    <t>RAFAEL ANT. LEON VASQUEZ</t>
  </si>
  <si>
    <t>001-1370899-4</t>
  </si>
  <si>
    <t>RAYNICK JUAN ORTIZ ALCANTARA</t>
  </si>
  <si>
    <t>001-1724118-2</t>
  </si>
  <si>
    <t>WANNY  NOVAS CORDERO</t>
  </si>
  <si>
    <t>010-0080138-9</t>
  </si>
  <si>
    <t>PEDRO JULIO MEDRANO NIVAR</t>
  </si>
  <si>
    <t>001-1417556-5</t>
  </si>
  <si>
    <t>JOSE MIGUEL MELLA BAILON</t>
  </si>
  <si>
    <t>001-1193318-0</t>
  </si>
  <si>
    <t>NIXON OSCAR CUEVAS PEREZ</t>
  </si>
  <si>
    <t>069-0005961-6</t>
  </si>
  <si>
    <t>ALBERTO  SURIEL JIMENEZ</t>
  </si>
  <si>
    <t>048-0062587-5</t>
  </si>
  <si>
    <t>MIGUEL ANTONIO GONZALEZ PEREZ</t>
  </si>
  <si>
    <t>001-1498188-9</t>
  </si>
  <si>
    <t>JUAN EVANGELISTA ALCANTARA ROSARIO</t>
  </si>
  <si>
    <t>001-1291258-9</t>
  </si>
  <si>
    <t xml:space="preserve">JESUS MARIA FLORES </t>
  </si>
  <si>
    <t>001-1381770-4</t>
  </si>
  <si>
    <t xml:space="preserve">ANDREA  CABRERA </t>
  </si>
  <si>
    <t>002-0098343-5</t>
  </si>
  <si>
    <t>LUIS  CUEVAS CARRASCO</t>
  </si>
  <si>
    <t>001-1340464-4</t>
  </si>
  <si>
    <t xml:space="preserve">CARLOS MIGUEL ARIAS </t>
  </si>
  <si>
    <t>084-0010125-2</t>
  </si>
  <si>
    <t>MIGUEL ANGEL TERRERO CUEVAS</t>
  </si>
  <si>
    <t>069-0006061-4</t>
  </si>
  <si>
    <t>MARIA ALTAGRACIA ROSARIO MENDOZA</t>
  </si>
  <si>
    <t>047-0073931-3</t>
  </si>
  <si>
    <t>LUISITO  DUVAL PEREZ</t>
  </si>
  <si>
    <t>022-0028326-1</t>
  </si>
  <si>
    <t>JOSE ANTONIO AMPARO ROJAS</t>
  </si>
  <si>
    <t>001-1429907-6</t>
  </si>
  <si>
    <t>RAMNY MANUEL PEÑA MARTINEZ</t>
  </si>
  <si>
    <t>003-0067213-6</t>
  </si>
  <si>
    <t>JOSE ANT. GONZALEZ BAQUERO</t>
  </si>
  <si>
    <t>001-1659465-6</t>
  </si>
  <si>
    <t>MIGUEL  PEÑA NOVAS</t>
  </si>
  <si>
    <t>022-0027245-4</t>
  </si>
  <si>
    <t xml:space="preserve">MAYRA ALTAGRACIA  SOLER PUELLO </t>
  </si>
  <si>
    <t>001-1175324-0</t>
  </si>
  <si>
    <t>7Y10%SOLICITADO</t>
  </si>
  <si>
    <t xml:space="preserve">JOSE  BOCIO FAMILIA </t>
  </si>
  <si>
    <t>001-1167967-6</t>
  </si>
  <si>
    <t xml:space="preserve">TOLENTINO  SANTOS DE LA ROSA </t>
  </si>
  <si>
    <t>001-1177205-9</t>
  </si>
  <si>
    <t xml:space="preserve">DANILO DANUBIO  PEREZ SILFA </t>
  </si>
  <si>
    <t>001-1176985-7</t>
  </si>
  <si>
    <t xml:space="preserve">DOMINGO  DURAN ROSARIO </t>
  </si>
  <si>
    <t>001-0264871-4</t>
  </si>
  <si>
    <t xml:space="preserve">DILUVINA ZOBEIDA URIBE GONZALEZ DE JIMENEZ </t>
  </si>
  <si>
    <t>001-0297105-8</t>
  </si>
  <si>
    <t xml:space="preserve">HECTOR LUIS  RODRIGUEZ MARTINEZ </t>
  </si>
  <si>
    <t>001-1174821-6</t>
  </si>
  <si>
    <t xml:space="preserve">RAMON  ROJAS ROJAS </t>
  </si>
  <si>
    <t>001-1177473-3</t>
  </si>
  <si>
    <t xml:space="preserve">OTANO  FORTUNA REYES </t>
  </si>
  <si>
    <t>001-1173868-8</t>
  </si>
  <si>
    <t xml:space="preserve">JOSE MANUEL  SUGILIO ROBLES </t>
  </si>
  <si>
    <t>001-1257443-9</t>
  </si>
  <si>
    <t xml:space="preserve">FRANCISCO  ALCANTARA RAMIREZ </t>
  </si>
  <si>
    <t>001-1176107-8</t>
  </si>
  <si>
    <t xml:space="preserve">JOSE ANTONIO  NOVAS RODRIGUEZ </t>
  </si>
  <si>
    <t>001-1173964-5</t>
  </si>
  <si>
    <t xml:space="preserve">JOSE AGUSTIN  VOLQUEZ FELIZ </t>
  </si>
  <si>
    <t>001-1176490-8</t>
  </si>
  <si>
    <t xml:space="preserve">FRANKLIN O. LAGARES SEGURA </t>
  </si>
  <si>
    <t>001-1285149-8</t>
  </si>
  <si>
    <t xml:space="preserve">EDDY SANTIAGO  ROSARIO FELIZ </t>
  </si>
  <si>
    <t>001-1173825-8</t>
  </si>
  <si>
    <t xml:space="preserve">ROXANNA  SOLER VALDEZ </t>
  </si>
  <si>
    <t>001-1221774-0</t>
  </si>
  <si>
    <t xml:space="preserve">CARLOS JUAN  ORTEGA </t>
  </si>
  <si>
    <t>001-1174506-3</t>
  </si>
  <si>
    <t xml:space="preserve">DANIEL  HEREDIA GONZALEZ </t>
  </si>
  <si>
    <t>079-0006125-5</t>
  </si>
  <si>
    <t xml:space="preserve">JULIO CESAR  JIMENEZ </t>
  </si>
  <si>
    <t>001-1179231-3</t>
  </si>
  <si>
    <t xml:space="preserve">SILVERIO FLORENTINO  POLANCO CABRERA </t>
  </si>
  <si>
    <t>001-1377439-2</t>
  </si>
  <si>
    <t xml:space="preserve">DANIEL ANTONIO  ARIAS VALDEZ </t>
  </si>
  <si>
    <t>001-1174025-4</t>
  </si>
  <si>
    <t xml:space="preserve">MELVIN OSIRIS  BORQUEZ VARELA </t>
  </si>
  <si>
    <t>027-0030873-3</t>
  </si>
  <si>
    <t xml:space="preserve">CARLOS ML.  BAUTISTA LEYBA </t>
  </si>
  <si>
    <t>008-0025919-4</t>
  </si>
  <si>
    <t xml:space="preserve">CRISTIAN  ROSENDO CONTRERAS </t>
  </si>
  <si>
    <t>001-1489641-8</t>
  </si>
  <si>
    <t xml:space="preserve">EDDY  NUÑEZ GIL </t>
  </si>
  <si>
    <t>001-1500201-6</t>
  </si>
  <si>
    <t xml:space="preserve">ADA BETTY  SIERRA POLANCO </t>
  </si>
  <si>
    <t>001-0858957-3</t>
  </si>
  <si>
    <t xml:space="preserve">BRELIN  PEREZ DISLA </t>
  </si>
  <si>
    <t>001-1643356-6</t>
  </si>
  <si>
    <t xml:space="preserve">ELVYN ANT.  RAMOS PICHARDO </t>
  </si>
  <si>
    <t>001-1678165-9</t>
  </si>
  <si>
    <t xml:space="preserve">PABLO  ANDUJAR MIGUEL </t>
  </si>
  <si>
    <t>065-0028195-8</t>
  </si>
  <si>
    <t xml:space="preserve">DOLLIBET  BERROA PORTES </t>
  </si>
  <si>
    <t>001-1421944-7</t>
  </si>
  <si>
    <t xml:space="preserve">WILSON  LAPAIX SUERO </t>
  </si>
  <si>
    <t>012-0085798-3</t>
  </si>
  <si>
    <t xml:space="preserve">CRISTINA YESENIA  FERRERAS RIJO </t>
  </si>
  <si>
    <t>001-1374794-3</t>
  </si>
  <si>
    <t xml:space="preserve">OLGA MERCEDES  NIN LOPEZ </t>
  </si>
  <si>
    <t>001-0633074-9</t>
  </si>
  <si>
    <t>NO UTLIZABLE</t>
  </si>
  <si>
    <t>peres</t>
  </si>
  <si>
    <t xml:space="preserve">ANA MARIA  LOPEZ GESUALDO </t>
  </si>
  <si>
    <t>001-1392997-0</t>
  </si>
  <si>
    <t xml:space="preserve">JOSEFINA C.  GRACIANO ABREU </t>
  </si>
  <si>
    <t>047-0038767-5</t>
  </si>
  <si>
    <t xml:space="preserve">ROCENDO  DE LOS SANTOS </t>
  </si>
  <si>
    <t>001-0630351-4</t>
  </si>
  <si>
    <t xml:space="preserve">ROBERTO ANEUDY  BASORA SARMIENTO </t>
  </si>
  <si>
    <t>223-0122210-9</t>
  </si>
  <si>
    <t xml:space="preserve">MIRIAN ALTAGRACIA  PERALTA </t>
  </si>
  <si>
    <t>044-0013582-0</t>
  </si>
  <si>
    <t xml:space="preserve">SOTO  MOTA </t>
  </si>
  <si>
    <t>068-0028238-3</t>
  </si>
  <si>
    <t xml:space="preserve">MANUEL DE JESUS MATOS </t>
  </si>
  <si>
    <t>001-0501005-2</t>
  </si>
  <si>
    <t xml:space="preserve">TERESA DE  PEÑA MARQUEZ </t>
  </si>
  <si>
    <t>001-0767485-5</t>
  </si>
  <si>
    <t xml:space="preserve">GLORIA D.  PIMENTEL NAVARRO </t>
  </si>
  <si>
    <t>001-0126602-1</t>
  </si>
  <si>
    <t xml:space="preserve">MANUEL  DE JESUS ALMONTE </t>
  </si>
  <si>
    <t>001-0130490-5</t>
  </si>
  <si>
    <t>FRANCISCO  ALCANTARA  PERALTA</t>
  </si>
  <si>
    <t>001-0756213-4</t>
  </si>
  <si>
    <t>ELIZABETH  ANTONIA ACEVEDO  ARIAS</t>
  </si>
  <si>
    <t>001-1025936-3</t>
  </si>
  <si>
    <t>DOMINGO  BENJAMIN DEL  ROSARIO QUEZADA</t>
  </si>
  <si>
    <t>001-1125715-0</t>
  </si>
  <si>
    <t xml:space="preserve">MELBA  ALTAGRACIA HEREDIA </t>
  </si>
  <si>
    <t>001-1034242-5</t>
  </si>
  <si>
    <t>RELACIÓN DE LOS MIEMBROS DE LAS FUERZAS ARMADAS, QUE FUERON COLOCADOS EN SITUACION DE RETIRO EN LA SESIÓN DEL PLENO CELEBRADO EN EL MES DE ABRIL DEL AÑO 2024, CONFORME A LO ESTABLECIDO  EN LA LEY NO. 873 DEL 31/07/1978 Y LA NO.139-13 DEL 13 DE SEPTIEMBRE DEL AÑO 2013, LEY ORGÁNICA DE LAS FUERZAS ARMADAS.</t>
  </si>
  <si>
    <t>RELACIÓN DE LOS MIEMBROS DE LAS FUERZAS ARMADAS, QUE FUERON COLOCADOS EN SITUACION DE RETIRO EN LA SESIÓN DEL PLENO CELEBRADO EN EL MES DE MAYO DEL AÑO 2024, CONFORME A LO ESTABLECIDO  EN LA LEY NO. 873 DEL 31/07/1978 Y LA NO.139-13 DEL 13 DE SEPTIEMBRE DEL AÑO 2013, LEY ORGÁNICA DE LAS FUERZAS ARMADAS.</t>
  </si>
  <si>
    <t>KAROLDY GUSTAVO REYES LUNA</t>
  </si>
  <si>
    <t>049-0051639-6</t>
  </si>
  <si>
    <t>FALTAS GRAV. DEB. COMPROBADAS</t>
  </si>
  <si>
    <t>BERARDO ANT. PEREZ SIERRA</t>
  </si>
  <si>
    <t>001-1171469-7</t>
  </si>
  <si>
    <t>UTILIZABLE P/S. DE ARMAS.</t>
  </si>
  <si>
    <t>ALEXIS DE JESUS CABRERA</t>
  </si>
  <si>
    <t>001-1170910-1</t>
  </si>
  <si>
    <t>MODESTO SEPULVEDA FABIAN</t>
  </si>
  <si>
    <t>001-1297693-1</t>
  </si>
  <si>
    <t>GERINERDO  VALDEZ AQUINO</t>
  </si>
  <si>
    <t>001-1167887-6</t>
  </si>
  <si>
    <t>PEDRO DE LOS SANTOS OGANDO</t>
  </si>
  <si>
    <t>012-0071526-4</t>
  </si>
  <si>
    <t>CARLOS MANUEL FELIZ PEREZ</t>
  </si>
  <si>
    <t>018-0045457-9</t>
  </si>
  <si>
    <t>YUBARYS  BAUTISTA Y BAUTISTA</t>
  </si>
  <si>
    <t>011-0025116-2</t>
  </si>
  <si>
    <t>ROBERTO ABEL HERASME MONTAS</t>
  </si>
  <si>
    <t>002-0095032-7</t>
  </si>
  <si>
    <t>ANGEL  MENDEZ Y MENDEZ</t>
  </si>
  <si>
    <t>001-1169021-0</t>
  </si>
  <si>
    <t xml:space="preserve">ALIFONSO  DIAZ </t>
  </si>
  <si>
    <t>011-0025063-6</t>
  </si>
  <si>
    <t>MIGUEL A. CASILLA MEDRANO</t>
  </si>
  <si>
    <t>020-0011013-6</t>
  </si>
  <si>
    <t>JULIO CESAR RAMIREZ MARTINEZ</t>
  </si>
  <si>
    <t>001-1460014-1</t>
  </si>
  <si>
    <t>MAS DE UN 50% DE INCAPACIDAD</t>
  </si>
  <si>
    <t>DEMETRIO  LARA RODRIGUEZ</t>
  </si>
  <si>
    <t>015-0004657-6</t>
  </si>
  <si>
    <t>FERNANDO  CARPIO MORENO</t>
  </si>
  <si>
    <t>001-1172621-2</t>
  </si>
  <si>
    <t>JOSE A. AYBAR MARTIN</t>
  </si>
  <si>
    <t>001-0145720-8</t>
  </si>
  <si>
    <t>SOLANO  MORETA NOVAS</t>
  </si>
  <si>
    <t>016-0010846-6</t>
  </si>
  <si>
    <t>LUIS E. DE LA CRUZ GOMEZ</t>
  </si>
  <si>
    <t>001-1167847-0</t>
  </si>
  <si>
    <t xml:space="preserve">LEOPOLDO  PIERALDY </t>
  </si>
  <si>
    <t>001-1171269-1</t>
  </si>
  <si>
    <t>SANTO  CATALINO RAMIREZ</t>
  </si>
  <si>
    <t>001-1222869-7</t>
  </si>
  <si>
    <t>PABLO WASCAR HEREDIA BELLO</t>
  </si>
  <si>
    <t>001-1168421-3</t>
  </si>
  <si>
    <t>KATTY</t>
  </si>
  <si>
    <t>ADITO TRONCOSO LEBRON</t>
  </si>
  <si>
    <t>011-0027028-7</t>
  </si>
  <si>
    <t>JULIO CESAR LORENZO OGANDO</t>
  </si>
  <si>
    <t>001-1166377-9</t>
  </si>
  <si>
    <t>ANTONIO  JIMENEZ BENITEZ</t>
  </si>
  <si>
    <t>022-0024393-5</t>
  </si>
  <si>
    <t>FABRICIANO  JIMENEZ CABRERA</t>
  </si>
  <si>
    <t>016-0010811-0</t>
  </si>
  <si>
    <t>WILQUIN PEARIS FERRERAS DIAZ</t>
  </si>
  <si>
    <t>022-0023152-6</t>
  </si>
  <si>
    <t>NELSON  DUVAL CUEVAS</t>
  </si>
  <si>
    <t>022-0023555-0</t>
  </si>
  <si>
    <t>MELVIN A. CACERES ARIAS</t>
  </si>
  <si>
    <t>001-1406063-5</t>
  </si>
  <si>
    <t xml:space="preserve">CATALINA  CEDEÑO </t>
  </si>
  <si>
    <t>026-0033216-3</t>
  </si>
  <si>
    <t>GONZALO  RAMIREZ MENDEZ</t>
  </si>
  <si>
    <t>010-0055225-5</t>
  </si>
  <si>
    <t>HENRY RAFAEL VICTORIANO TAVERAS</t>
  </si>
  <si>
    <t>053-0025487-6</t>
  </si>
  <si>
    <t>DEYANIRA BATISTA MATOS</t>
  </si>
  <si>
    <t>001-1514368-7</t>
  </si>
  <si>
    <t>LEONARDO  MATEO JIMENEZ</t>
  </si>
  <si>
    <t>113-0000144-0</t>
  </si>
  <si>
    <t>ANGEL DE JESUS VERAS GASTON</t>
  </si>
  <si>
    <t>001-0507602-0</t>
  </si>
  <si>
    <t>JULIO CESAR CUBILETE ADAMES</t>
  </si>
  <si>
    <t>001-1169809-8</t>
  </si>
  <si>
    <t>EX -  SARGENTO MAYOR</t>
  </si>
  <si>
    <t>JUAN FCO. DE PAULA QUEZADA</t>
  </si>
  <si>
    <t>005-0039450-7</t>
  </si>
  <si>
    <t>EXPIRACIÓN DE ALISTAMINETO Y NO REALISTO</t>
  </si>
  <si>
    <t>RONNY PEREZ HEREDIA</t>
  </si>
  <si>
    <t>001-1605518-7</t>
  </si>
  <si>
    <t>ANTONIO LEBRON MEDINA</t>
  </si>
  <si>
    <t>093-0054796-6</t>
  </si>
  <si>
    <t>JOHANNY ENMANUEL TORIBIO TORIBIO</t>
  </si>
  <si>
    <t>054-0117509-5</t>
  </si>
  <si>
    <t>LUCY ESTHER REYES CEDANO</t>
  </si>
  <si>
    <t>026-0065394-9</t>
  </si>
  <si>
    <t>SOLICITUD ACEPTADA</t>
  </si>
  <si>
    <t>WILLIAMS  ALCANTARA MORILLO</t>
  </si>
  <si>
    <t>012-0076691-1</t>
  </si>
  <si>
    <t>POR SENTENCIA CONDENATORIA</t>
  </si>
  <si>
    <t>LARIS PEREZ CORNIEL</t>
  </si>
  <si>
    <t>018-0060415-7</t>
  </si>
  <si>
    <t>FALTAS GRAVES DEBID. COMPROBADAS</t>
  </si>
  <si>
    <t>CRISTIAN F. VALDEZ CASTILLO</t>
  </si>
  <si>
    <t>001-1171765-8</t>
  </si>
  <si>
    <t>RAMON ARSENIO LEGUISAMON</t>
  </si>
  <si>
    <t>023-0094124-8</t>
  </si>
  <si>
    <t>POR OBSERV. MALA CONDUCTA EN FECHA 27/08/1998</t>
  </si>
  <si>
    <t>RUBEN D. DIAZ MORETA</t>
  </si>
  <si>
    <t>018-0058879-8</t>
  </si>
  <si>
    <t>UTLIZABLE P/S. DE ARMAS</t>
  </si>
  <si>
    <t>AMILCAR DEMETRIO CARRASCO RODRIGUEZ</t>
  </si>
  <si>
    <t>001-1277182-9</t>
  </si>
  <si>
    <t>JOSE  MARTE DE LEON</t>
  </si>
  <si>
    <t>001-1179295-8</t>
  </si>
  <si>
    <t>PORFIRIO  FELIZ ROMERO</t>
  </si>
  <si>
    <t>012-0070082-9</t>
  </si>
  <si>
    <t>FELIX ANTONIO CUEVAS SENA</t>
  </si>
  <si>
    <t>001-1179471-5</t>
  </si>
  <si>
    <t>MAGDA DOLORES BERAS SAVIÑON</t>
  </si>
  <si>
    <t>001-1397511-4</t>
  </si>
  <si>
    <t>FRANKLIN  FELIZ CASTILLO</t>
  </si>
  <si>
    <t>001-1202639-8</t>
  </si>
  <si>
    <t>LLORVIN ANTONIO TRINIDAD MENDEZ</t>
  </si>
  <si>
    <t>078-0009849-8</t>
  </si>
  <si>
    <t>PERKIN PAULINO ROSARIO SAVIÑON</t>
  </si>
  <si>
    <t>001-1178854-3</t>
  </si>
  <si>
    <t>NORMAN DE LA ROSA PEREZ</t>
  </si>
  <si>
    <t>011-0026114-6</t>
  </si>
  <si>
    <t>JOSE ANTONIO FLORIAN SANTANA</t>
  </si>
  <si>
    <t>078-0010087-2</t>
  </si>
  <si>
    <t>ERNESTO  ENCARNACION QUEVEDO</t>
  </si>
  <si>
    <t>011-0027713-4</t>
  </si>
  <si>
    <t>EDISON ANT. HERNANDEZ CARRASCO</t>
  </si>
  <si>
    <t>223-0015147-3</t>
  </si>
  <si>
    <t>MARIA CANDELARIA RAMIREZ BERIHUETE</t>
  </si>
  <si>
    <t>001-1147140-5</t>
  </si>
  <si>
    <t>ANGEL MIGUEL MONTERO PEREZ</t>
  </si>
  <si>
    <t>079-0009484-3</t>
  </si>
  <si>
    <t>FALTAS GRA. DEBID. COMPROBADAS</t>
  </si>
  <si>
    <t>ANDRES  GONZALEZ CUEVAS</t>
  </si>
  <si>
    <t>084-0011756-3</t>
  </si>
  <si>
    <t>EDWARD NARCISO CASSO SANTOS</t>
  </si>
  <si>
    <t>001-1202659-6</t>
  </si>
  <si>
    <t>AMAURY  MENDEZ DEL VALLE</t>
  </si>
  <si>
    <t>022-0010546-4</t>
  </si>
  <si>
    <t>FELIX ANTONIO MARIANO LOPEZ</t>
  </si>
  <si>
    <t>005-0035485-7</t>
  </si>
  <si>
    <t>TANIA JOSEFINA MEREGILDO ROSARIO</t>
  </si>
  <si>
    <t>003-0090565-0</t>
  </si>
  <si>
    <t xml:space="preserve">RAFAEL  GARCIA </t>
  </si>
  <si>
    <t>001-0837832-4</t>
  </si>
  <si>
    <t>CASIMIRO  SORIANO PASCUAL</t>
  </si>
  <si>
    <t>008-0015381-9</t>
  </si>
  <si>
    <t>JOSE RAMON MARTINEZ MONTEAGUDO</t>
  </si>
  <si>
    <t>001-1221754-2</t>
  </si>
  <si>
    <t>JEURIS EUGENIO PEREZ GARCIA</t>
  </si>
  <si>
    <t>020-0015491-0</t>
  </si>
  <si>
    <t>FERNANDO JOSE PADILLA PIMENTEL</t>
  </si>
  <si>
    <t>018-0050900-0</t>
  </si>
  <si>
    <t>VICTOR LOERE AMADIZ PIMENTEL</t>
  </si>
  <si>
    <t>001-0074975-3</t>
  </si>
  <si>
    <t>UTLIZABLE P/S. QUE NO SEA DE ARMAS</t>
  </si>
  <si>
    <t xml:space="preserve">RAMON  MARRERO </t>
  </si>
  <si>
    <t>065-0032272-9</t>
  </si>
  <si>
    <t>BELKIS  MARTINEZ SANTIAGO</t>
  </si>
  <si>
    <t>001-1300803-1</t>
  </si>
  <si>
    <t xml:space="preserve">GABINO  FERRERAS BATISTA </t>
  </si>
  <si>
    <t>001-1173730-0</t>
  </si>
  <si>
    <t xml:space="preserve">JEREMIAS BERNARDINO  ALCANTARA PAULINO </t>
  </si>
  <si>
    <t>001-1176066-6</t>
  </si>
  <si>
    <t xml:space="preserve">JOSE ELIZARDO  SALAS MEJIA </t>
  </si>
  <si>
    <t>001-1282492-5</t>
  </si>
  <si>
    <t xml:space="preserve">JOSE RAFAEL  MARTINEZ MORILLO </t>
  </si>
  <si>
    <t>047-0128733-8</t>
  </si>
  <si>
    <t xml:space="preserve">RIGOBERTO  BASORA </t>
  </si>
  <si>
    <t>001-1174910-7</t>
  </si>
  <si>
    <t xml:space="preserve">ESTEBAN  FELIZ MARRERO </t>
  </si>
  <si>
    <t>001-1175358-8</t>
  </si>
  <si>
    <t xml:space="preserve">MARCELO  ROBLES JAVIER </t>
  </si>
  <si>
    <t>001-1174315-9</t>
  </si>
  <si>
    <t xml:space="preserve">JUAN DAVID  LANGUASCO CRUZ </t>
  </si>
  <si>
    <t>001-1175107-9</t>
  </si>
  <si>
    <t xml:space="preserve">RICHARD  MENA ROSARIO </t>
  </si>
  <si>
    <t>001-1172807-7</t>
  </si>
  <si>
    <t xml:space="preserve">JUAN R. DE LOS  SANTOS DE LOS SANTOS </t>
  </si>
  <si>
    <t>002-0037682-0</t>
  </si>
  <si>
    <t xml:space="preserve">RENATO  BONILLA MARTINEZ </t>
  </si>
  <si>
    <t>061-0020781-7</t>
  </si>
  <si>
    <t xml:space="preserve">EUSEBIO TOBIAS  ESTEVEZ ESTEVEZ  </t>
  </si>
  <si>
    <t>044-0016179-2</t>
  </si>
  <si>
    <t xml:space="preserve">DONY  PEÑA </t>
  </si>
  <si>
    <t>040-0009060-7</t>
  </si>
  <si>
    <t xml:space="preserve">YSAURA KATHERINE  FIGUEREO MERCEDES </t>
  </si>
  <si>
    <t>001-1714528-4</t>
  </si>
  <si>
    <t xml:space="preserve">LEONARDO DE JESUS  DOMINGUEZ RODRIGUEZ </t>
  </si>
  <si>
    <t>044-0020637-3</t>
  </si>
  <si>
    <t xml:space="preserve">WILLIAMS  PEREZ ORTEGA </t>
  </si>
  <si>
    <t>061-0021055-5</t>
  </si>
  <si>
    <t xml:space="preserve">PEDRO DANIEL  CONTRERAS RAMOS </t>
  </si>
  <si>
    <t>025-0015291-9</t>
  </si>
  <si>
    <t xml:space="preserve">RAMON ELIAS  PEREZ CUEVAS </t>
  </si>
  <si>
    <t>001-1174419-9</t>
  </si>
  <si>
    <t>GENARO VARGAS MARTINEZ</t>
  </si>
  <si>
    <t>001-1628876-2</t>
  </si>
  <si>
    <t xml:space="preserve">MIGUEL ANGEL  LUNA </t>
  </si>
  <si>
    <t>001-0599082-4</t>
  </si>
  <si>
    <t>UTILIZABLE P/S. QUE NO SEA DE ARMAS.</t>
  </si>
  <si>
    <t xml:space="preserve">JUANA  RINCON SANTANA </t>
  </si>
  <si>
    <t>001-0596632-9</t>
  </si>
  <si>
    <t xml:space="preserve">WENDY ALTAGRACIA  ARRIAGA LEDESMA </t>
  </si>
  <si>
    <t>001-0973314-7</t>
  </si>
  <si>
    <t xml:space="preserve">MAURICIA  GARCIA CASTILLO </t>
  </si>
  <si>
    <t>001-0632853-7</t>
  </si>
  <si>
    <t xml:space="preserve">RAFAEL  REYES BIBIECA </t>
  </si>
  <si>
    <t>001-1079619-0</t>
  </si>
  <si>
    <t xml:space="preserve">SISI G.  PEREZ LORA </t>
  </si>
  <si>
    <t>001-1221195-8</t>
  </si>
  <si>
    <t xml:space="preserve">PETRONILA  PEÑA PEREZ </t>
  </si>
  <si>
    <t>001-1330818-3</t>
  </si>
  <si>
    <t>JUANA  FERNANDEZ  BELLO</t>
  </si>
  <si>
    <t>001-1253216-3</t>
  </si>
  <si>
    <t>KENIA  YOVANNY RIJO  MATOS</t>
  </si>
  <si>
    <t>001-1059824-0</t>
  </si>
  <si>
    <t>RAFAEL  EMILIO ACEVEDO  MEDRANO</t>
  </si>
  <si>
    <t>002-0024580-1</t>
  </si>
  <si>
    <t>INGRID MAIRENI BAEZ ORTIZ</t>
  </si>
  <si>
    <t>001-0234571-7</t>
  </si>
  <si>
    <t>TOMASINA  LEBRON  LEBRON</t>
  </si>
  <si>
    <t>001-0452773-4</t>
  </si>
  <si>
    <t>JOSELYN  APONTE  FIGUEROA</t>
  </si>
  <si>
    <t>001-0562276-5</t>
  </si>
  <si>
    <t>AGUSTIN REYNOSO ENCARNACION</t>
  </si>
  <si>
    <t>005-0035454-3</t>
  </si>
  <si>
    <t>FALTAS GRAV. DEBD. COMPR.</t>
  </si>
  <si>
    <t>EX - MARINERO AUXILIAR</t>
  </si>
  <si>
    <t>MENOS DE UN 50% DE SU DISCP.</t>
  </si>
  <si>
    <t>RELACIÓN DE LOS MIEMBROS DE LAS FUERZAS ARMADAS, QUE FUERON COLOCADOS EN SITUACION DE RETIRO EN LA SESIÓN DEL PLENO CELEBRADO EN EL MES DE AGOSTO DEL AÑO 2024, CONFORME A LO ESTABLECIDO  EN LA LEY NO. 873 DEL 31/07/1978 Y LA NO.139-13 DEL 13 DE SEPTIEMBRE DEL AÑO 2013, LEY ORGÁNICA DE LAS FUERZAS ARMADAS.</t>
  </si>
  <si>
    <t>LUIS ML. RAINIERO REYES TORIBIO</t>
  </si>
  <si>
    <t>001-1193244-8</t>
  </si>
  <si>
    <t>HELPIS YONELY ROSADO GUERRERO</t>
  </si>
  <si>
    <t>001-1165255-8</t>
  </si>
  <si>
    <t>FELIX  BENITEZ MESA</t>
  </si>
  <si>
    <t>110-0003388-3</t>
  </si>
  <si>
    <t>CARLOS AUGUSTO MEDRANO PEREZ</t>
  </si>
  <si>
    <t>001-1168264-7</t>
  </si>
  <si>
    <t>MENCIA SALDAÑA CASTILLO DE DIAZ</t>
  </si>
  <si>
    <t>023-0066180-4</t>
  </si>
  <si>
    <t>MINDALINA J. SANCHEZ SOTO</t>
  </si>
  <si>
    <t>002-0069566-6</t>
  </si>
  <si>
    <t>SANTO  CALDERON BONIFACIO</t>
  </si>
  <si>
    <t>053-0027778-6</t>
  </si>
  <si>
    <t>MARTIRES  NOVAS MONTERO</t>
  </si>
  <si>
    <t>077-0004305-7</t>
  </si>
  <si>
    <t>MANUEL  FELIZ CUEVAS</t>
  </si>
  <si>
    <t>022-0023875-2</t>
  </si>
  <si>
    <t>MERENCIANO  MONTERO OGANDO</t>
  </si>
  <si>
    <t>108-0004374-6</t>
  </si>
  <si>
    <t>HEGARDO ANT. GONZALEZ SEGURA</t>
  </si>
  <si>
    <t>018-0046327-3</t>
  </si>
  <si>
    <t>NICOLAS  HICIANO HICIANO</t>
  </si>
  <si>
    <t>054-0086471-5</t>
  </si>
  <si>
    <t>ADRIA ELISA QUEVEDO ROSARIO</t>
  </si>
  <si>
    <t>012-0017689-7</t>
  </si>
  <si>
    <t>HECTOR M. MONTERO MORALES</t>
  </si>
  <si>
    <t>001-1312204-8</t>
  </si>
  <si>
    <t>NARO R. CABRERA BAEZ</t>
  </si>
  <si>
    <t>091-0003189-8</t>
  </si>
  <si>
    <t>YERAN  GONZALEZ MASTELIS</t>
  </si>
  <si>
    <t>001-1176350-4</t>
  </si>
  <si>
    <t>GONZALO  PEREZ GUZMAN</t>
  </si>
  <si>
    <t>020-0010980-7</t>
  </si>
  <si>
    <t>WILSON RAFAEL ANT. DIAZ ALMONTE</t>
  </si>
  <si>
    <t>001-1424470-0</t>
  </si>
  <si>
    <t>DAVID  AMADOR CASILLA</t>
  </si>
  <si>
    <t>001-1268354-5</t>
  </si>
  <si>
    <t>ALFONSO YSRAEL CASTILLO CASTILLO</t>
  </si>
  <si>
    <t>016-0012406-7</t>
  </si>
  <si>
    <t>LUIS MANUEL PERALTA PEREZ</t>
  </si>
  <si>
    <t>059-0013034-4</t>
  </si>
  <si>
    <t>EDUALDO  DE LEON LORENZO</t>
  </si>
  <si>
    <t>104-0000945-1</t>
  </si>
  <si>
    <t>ALFREDO  RODRIGUEZ ROSARIO</t>
  </si>
  <si>
    <t>001-1171318-6</t>
  </si>
  <si>
    <t xml:space="preserve">SENCION  BRITO </t>
  </si>
  <si>
    <t>001-1172586-7</t>
  </si>
  <si>
    <t>MAXIMO  GONZALEZ MARTINEZ</t>
  </si>
  <si>
    <t>001-1193181-2</t>
  </si>
  <si>
    <t>GUILLERMO  RODRIGUEZ MATEO</t>
  </si>
  <si>
    <t>016-0010919-1</t>
  </si>
  <si>
    <t xml:space="preserve"> R</t>
  </si>
  <si>
    <t>HUMBERTO  MATEO PEREZ</t>
  </si>
  <si>
    <t>034-0036468-7</t>
  </si>
  <si>
    <t>FRANCIS ALEX SEVERINO CARVAJAL</t>
  </si>
  <si>
    <t>001-1168980-8</t>
  </si>
  <si>
    <t>ROLANDO  MATOS PLATA</t>
  </si>
  <si>
    <t>020-0011173-8</t>
  </si>
  <si>
    <t>RAMON ANTONIO ALVARADO ROSARIO</t>
  </si>
  <si>
    <t>001-1188924-2</t>
  </si>
  <si>
    <t>MAXIMILIANO DOLORES JIMENEZ LORA</t>
  </si>
  <si>
    <t>001-1165363-0</t>
  </si>
  <si>
    <t>JULIAN MERCEDES SANCHEZ GONZALEZ</t>
  </si>
  <si>
    <t>118-0008100-9</t>
  </si>
  <si>
    <t>FRANCISCO ARTURO NICASIO MORALES</t>
  </si>
  <si>
    <t>049-0052370-7</t>
  </si>
  <si>
    <t>JUAN  VILLAR Y VILLAR</t>
  </si>
  <si>
    <t>013-0034421-3</t>
  </si>
  <si>
    <t>VICTORIANO  ALVAREZ MERIGILDO</t>
  </si>
  <si>
    <t>001-1170217-1</t>
  </si>
  <si>
    <t>NEY ANGEL GONZALEZ LOPEZ</t>
  </si>
  <si>
    <t>001-1168180-5</t>
  </si>
  <si>
    <t>ENRIQUE  BAEZ DE LEON</t>
  </si>
  <si>
    <t>005-0033800-9</t>
  </si>
  <si>
    <t>RAMON  QUEZADA VALENZUELA</t>
  </si>
  <si>
    <t>053-0010673-8</t>
  </si>
  <si>
    <t>MARIO  SANTANA SANCHEZ</t>
  </si>
  <si>
    <t>001-1167517-9</t>
  </si>
  <si>
    <t>MARLENE ISABEL CHECO ALONZO</t>
  </si>
  <si>
    <t>001-1273330-8</t>
  </si>
  <si>
    <t>ERIC  PIMENTEL SCHAPER</t>
  </si>
  <si>
    <t>001-0064634-8</t>
  </si>
  <si>
    <t>FIOR DALIZA PIÑEYRO FELIZ</t>
  </si>
  <si>
    <t>001-0061055-9</t>
  </si>
  <si>
    <t>CARMEN JULIA RUIZ PEÑA</t>
  </si>
  <si>
    <t>001-0074323-6</t>
  </si>
  <si>
    <t>ANTHONY RAFAEL FLORIAN CAMPUSANO</t>
  </si>
  <si>
    <t>001-1428692-5</t>
  </si>
  <si>
    <t>MARTIRES PEREZ RIVAS</t>
  </si>
  <si>
    <t>022-0023178-1</t>
  </si>
  <si>
    <t>MAS DE UN 50% DE SU DISCP.</t>
  </si>
  <si>
    <t>ANGELITO  PEREZ TERRERO</t>
  </si>
  <si>
    <t>020-0010851-0</t>
  </si>
  <si>
    <t>MARIA G. ALVAREZ R. DE ESPINAL</t>
  </si>
  <si>
    <t>002-0004032-7</t>
  </si>
  <si>
    <t xml:space="preserve">JUAN ANTONIO GARCIA </t>
  </si>
  <si>
    <t>090-0017510-0</t>
  </si>
  <si>
    <t>JOSE B. ROSARIO FAMILIA</t>
  </si>
  <si>
    <t>001-1271435-7</t>
  </si>
  <si>
    <t>RANDAL  CUEVAS MATEO</t>
  </si>
  <si>
    <t>070-0004337-7</t>
  </si>
  <si>
    <t>CARLOS ML. CASTILLO REYES</t>
  </si>
  <si>
    <t>076-0014975-6</t>
  </si>
  <si>
    <t>ANA DIVINA RODRIGUEZ GOMEZ</t>
  </si>
  <si>
    <t>034-0008346-9</t>
  </si>
  <si>
    <t>RAFAEL E. JIMENEZ FERRERA</t>
  </si>
  <si>
    <t>022-0024057-6</t>
  </si>
  <si>
    <t>CRUCITO  FELIZ Y FELIZ</t>
  </si>
  <si>
    <t>001-1172912-5</t>
  </si>
  <si>
    <t>ROBERT  MONTERO BERIGUETE</t>
  </si>
  <si>
    <t>001-1172326-8</t>
  </si>
  <si>
    <t>LUIS  MORILLO MATOS</t>
  </si>
  <si>
    <t>012-0070266-8</t>
  </si>
  <si>
    <t>SANTIAGUITO  CONTRERAS GOMEZ</t>
  </si>
  <si>
    <t>001-1166325-8</t>
  </si>
  <si>
    <t>RAUL  MENDEZ ORTEGA</t>
  </si>
  <si>
    <t>056-0099226-6</t>
  </si>
  <si>
    <t>MIGUEL  SUERO TORRES</t>
  </si>
  <si>
    <t>001-1117019-7</t>
  </si>
  <si>
    <t>JOSE DOLORES ANTONIO SALAZAR</t>
  </si>
  <si>
    <t>001-0160865-1</t>
  </si>
  <si>
    <t>JOSE ALB. JOSE FLORIAN</t>
  </si>
  <si>
    <t>077-0004226-5</t>
  </si>
  <si>
    <t>WILKIN  RUIZ SANTANA</t>
  </si>
  <si>
    <t>026-0080497-1</t>
  </si>
  <si>
    <t>CONFESOR  CABRERA ROA</t>
  </si>
  <si>
    <t>001-1172576-8</t>
  </si>
  <si>
    <t>EIDY  MATOS FIGUEREO</t>
  </si>
  <si>
    <t>018-0021001-3</t>
  </si>
  <si>
    <t>WANDER A. RUIZ OLIVERO</t>
  </si>
  <si>
    <t>018-0048709-0</t>
  </si>
  <si>
    <t>VALENTIN  BURGOS DE LA CRUZ</t>
  </si>
  <si>
    <t>001-1166003-1</t>
  </si>
  <si>
    <t>FELIX CECILIO DOROTEO</t>
  </si>
  <si>
    <t>029-0006796-4</t>
  </si>
  <si>
    <t>SEP. POR SENTENCIA DE TRIBUNAL</t>
  </si>
  <si>
    <t>ROLANDO P. NOVAS REYES</t>
  </si>
  <si>
    <t>020-0011181-1</t>
  </si>
  <si>
    <t>JULIO CESAR REYES MENDEZ</t>
  </si>
  <si>
    <t>076-0014971-5</t>
  </si>
  <si>
    <t>SANTA I. VALENZUELA MARTINEZ</t>
  </si>
  <si>
    <t>001-0847657-3</t>
  </si>
  <si>
    <t>AMELIA S. PAREDES DE INFANTE</t>
  </si>
  <si>
    <t>056-0117516-8</t>
  </si>
  <si>
    <t>EDUARDITO  ARIAS MATEO</t>
  </si>
  <si>
    <t>084-0008121-5</t>
  </si>
  <si>
    <t>FELITO  VICENTE MORILLO</t>
  </si>
  <si>
    <t>108-0007198-6</t>
  </si>
  <si>
    <t>RAY</t>
  </si>
  <si>
    <t>HILARIO DE LA ROSA FELIPE</t>
  </si>
  <si>
    <t>016-0013071-8</t>
  </si>
  <si>
    <t>DOMINGO A. FAMILIA MEDINA</t>
  </si>
  <si>
    <t>001-1169748-8</t>
  </si>
  <si>
    <t>FAUTINO  GUZMAN VILCHEZ</t>
  </si>
  <si>
    <t>017-0016909-5</t>
  </si>
  <si>
    <t>LUCIANO  MENDEZ MARIÑEZ</t>
  </si>
  <si>
    <t>011-0029817-1</t>
  </si>
  <si>
    <t>RAMON M. MEJIA FRIAS</t>
  </si>
  <si>
    <t>001-1035219-2</t>
  </si>
  <si>
    <t>IVAN MICHEL RUIZ GOMEZ</t>
  </si>
  <si>
    <t>001-1417672-0</t>
  </si>
  <si>
    <t>ANA R. MATOS Y MATOS</t>
  </si>
  <si>
    <t>001-0125715-2</t>
  </si>
  <si>
    <t>ELIDA  DIAZ GONZALEZ</t>
  </si>
  <si>
    <t>001-0308661-7</t>
  </si>
  <si>
    <t>JANEIRO GOMEZ PEREZ</t>
  </si>
  <si>
    <t>019-0013941-9</t>
  </si>
  <si>
    <t>SEP. POR FALTAS GRAVES DB. COMPR.</t>
  </si>
  <si>
    <t>MARTINA ALT. JIMENEZ ALVAREZ</t>
  </si>
  <si>
    <t>044-0017165-0</t>
  </si>
  <si>
    <t>NICOLAS  SEVERINO SANTANA</t>
  </si>
  <si>
    <t>001-1189061-2</t>
  </si>
  <si>
    <t>SANTA EDUVIRGEN ROMERO MIESES</t>
  </si>
  <si>
    <t>001-1567784-1</t>
  </si>
  <si>
    <t>JOSE RAFAEL NUÑEZ NUÑEZ</t>
  </si>
  <si>
    <t>047-0051470-8</t>
  </si>
  <si>
    <t>MIGUEL A. QUEZADA ABREU</t>
  </si>
  <si>
    <t>053-0023710-3</t>
  </si>
  <si>
    <t>JUAN ESTEBAN GONZALEZ NUÑEZ</t>
  </si>
  <si>
    <t>002-0010662-3</t>
  </si>
  <si>
    <t>DOMINGO MARTINEZ</t>
  </si>
  <si>
    <t>001-1585343-4</t>
  </si>
  <si>
    <t>RAFAEL DE JESUS DUJARRIC ARIAS</t>
  </si>
  <si>
    <t>001-1517859-2</t>
  </si>
  <si>
    <t>JOSE JACOBO ABREU HURTADO</t>
  </si>
  <si>
    <t>001-1194524-2</t>
  </si>
  <si>
    <t>HILARIO SANTOS VILLAFAÑA</t>
  </si>
  <si>
    <t>001-1029955-9</t>
  </si>
  <si>
    <t>JOSE ELIAS SEM MARTINEZ</t>
  </si>
  <si>
    <t>031-0033818-9</t>
  </si>
  <si>
    <t>JULIO ANGEL RIJO JIMENEZ</t>
  </si>
  <si>
    <t>028-0011264-7</t>
  </si>
  <si>
    <t>LAURA ADNAW SANCHEZ GUEVARA</t>
  </si>
  <si>
    <t>001-1268867-6</t>
  </si>
  <si>
    <t>JUAN DIONISIO ACEVEDO ESPINAL</t>
  </si>
  <si>
    <t>008-0017155-5</t>
  </si>
  <si>
    <t>MARLENYN DEL CARME DIAZ MUÑOZ</t>
  </si>
  <si>
    <t>059-0018743-5</t>
  </si>
  <si>
    <t>EMMANUEL ALEXANDER RIVERA NUÑEZ</t>
  </si>
  <si>
    <t>001-1179319-6</t>
  </si>
  <si>
    <t>ART. 247, LEY 139-13</t>
  </si>
  <si>
    <t>EX - CAPITÁN DE NAVÍO</t>
  </si>
  <si>
    <t>IRVING ERUBE CABRERA DIAZ</t>
  </si>
  <si>
    <t>037-0069602-8</t>
  </si>
  <si>
    <t>SANTO  MARTINEZ JIMENEZ</t>
  </si>
  <si>
    <t>001-1179543-1</t>
  </si>
  <si>
    <t>ROSA ANTONIA LOPEZ SAN PABLO</t>
  </si>
  <si>
    <t>001-1179750-2</t>
  </si>
  <si>
    <t>OBISPO  AQUINO MARTINEZ</t>
  </si>
  <si>
    <t>016-0011084-3</t>
  </si>
  <si>
    <t>DAMASO  SEGURA DIAZ</t>
  </si>
  <si>
    <t>022-0023942-0</t>
  </si>
  <si>
    <t>TEODORO  DIAZ CUEVAS</t>
  </si>
  <si>
    <t>001-1180517-2</t>
  </si>
  <si>
    <t>JOSE  GUERRERO VALDEZ</t>
  </si>
  <si>
    <t>003-0067185-6</t>
  </si>
  <si>
    <t>FERNANDO ARTURO JAQUEZ REYES</t>
  </si>
  <si>
    <t>001-1179904-5</t>
  </si>
  <si>
    <t>AMAURIS  FELIZ FELIZ</t>
  </si>
  <si>
    <t>001-1223242-6</t>
  </si>
  <si>
    <t>GINSSELLYS HALVERSONYS PEREZ RODRIGUEZ</t>
  </si>
  <si>
    <t>001-0458041-0</t>
  </si>
  <si>
    <t>MARCO  SENA MEDINA</t>
  </si>
  <si>
    <t>001-1180465-4</t>
  </si>
  <si>
    <t>VIRGILIO  CONSUEGRA MEDINA</t>
  </si>
  <si>
    <t>001-1312194-1</t>
  </si>
  <si>
    <t>JOSE MANUEL RODRIGUEZ SANTOS</t>
  </si>
  <si>
    <t>001-1223246-7</t>
  </si>
  <si>
    <t>FRANCISCO ANTONIO ROSARIO ARIAS</t>
  </si>
  <si>
    <t>003-0058105-5</t>
  </si>
  <si>
    <t>EX - TENIENTE DE NAVÍO</t>
  </si>
  <si>
    <t>MAULLIN YERENCA LORENZO RODRIGUEZ</t>
  </si>
  <si>
    <t>104-0016787-9</t>
  </si>
  <si>
    <t>AURY  FLORIAN FELIZ</t>
  </si>
  <si>
    <t>022-0025905-5</t>
  </si>
  <si>
    <t>OSCAR  FELIZ BATISTA</t>
  </si>
  <si>
    <t>018-0046664-9</t>
  </si>
  <si>
    <t>SANTO PAULINO GUZMAN FRANCO</t>
  </si>
  <si>
    <t>003-0027795-1</t>
  </si>
  <si>
    <t xml:space="preserve">FREDY ANTONIO MEDINA </t>
  </si>
  <si>
    <t>022-0020062-0</t>
  </si>
  <si>
    <t>DERYS CRISTINA JIMENEZ DILONE</t>
  </si>
  <si>
    <t>001-1112627-2</t>
  </si>
  <si>
    <t>ANTOLIN DE LA CRUZ OVIEDO</t>
  </si>
  <si>
    <t>001-1592788-1</t>
  </si>
  <si>
    <t>ALEXANDER  FLORIAN CUEVAS</t>
  </si>
  <si>
    <t>022-0020016-6</t>
  </si>
  <si>
    <t>MARIA ALTAGRACIA MOTA RODRIGUEZ</t>
  </si>
  <si>
    <t>001-0576208-2</t>
  </si>
  <si>
    <t>GLENY MARIA TOLENTINO MERCADO</t>
  </si>
  <si>
    <t>001-1280976-9</t>
  </si>
  <si>
    <t>ADOLFO ANDRES ARTILES ACOSTA</t>
  </si>
  <si>
    <t>001-0970686-1</t>
  </si>
  <si>
    <t>VITALBIO  REYES MENDEZ</t>
  </si>
  <si>
    <t>076-0018644-4</t>
  </si>
  <si>
    <t xml:space="preserve">LEIDY DIANA REYES </t>
  </si>
  <si>
    <t>001-1415146-7</t>
  </si>
  <si>
    <t xml:space="preserve">FREDDY LUIS RAMIREZ </t>
  </si>
  <si>
    <t>001-1568449-0</t>
  </si>
  <si>
    <t>JUNIOR LEANDRO URBAEZ MICHEL</t>
  </si>
  <si>
    <t>022-0028103-4</t>
  </si>
  <si>
    <t>LUIS IGNACIO ESPAILLAT ARIAS</t>
  </si>
  <si>
    <t>001-1684201-4</t>
  </si>
  <si>
    <t>CARLOS FERNANDO MOREL RAMIREZ</t>
  </si>
  <si>
    <t>001-1163206-3</t>
  </si>
  <si>
    <t>ENRIQUE  ALCANTARA VILLEGAS</t>
  </si>
  <si>
    <t>012-0068445-2</t>
  </si>
  <si>
    <t>SANDRA MARGARITA DEL P. SEVERINO PONCEANO</t>
  </si>
  <si>
    <t>001-0182297-1</t>
  </si>
  <si>
    <t>PAULINO  HEREDIA MANZUETA</t>
  </si>
  <si>
    <t>005-0039054-7</t>
  </si>
  <si>
    <t>JUAN ANDRES VOLQUEZ SAVIÑON</t>
  </si>
  <si>
    <t>020-0014207-1</t>
  </si>
  <si>
    <t>MARIO VINICIO FELIZ AYBAR</t>
  </si>
  <si>
    <t>003-0028544-2</t>
  </si>
  <si>
    <t>KEILA ISABELITA MATEO RAMIREZ</t>
  </si>
  <si>
    <t>010-0077674-8</t>
  </si>
  <si>
    <t>ARIDIO  BAUTISTA CORCINO</t>
  </si>
  <si>
    <t>084-0013151-5</t>
  </si>
  <si>
    <t>CARLOS LUIS PEREZ PEÑA</t>
  </si>
  <si>
    <t>011-0036092-2</t>
  </si>
  <si>
    <t>EDWIN MANUEL FERNANDEZ SANCHEZ</t>
  </si>
  <si>
    <t>022-0028317-0</t>
  </si>
  <si>
    <t>CYNTHIA  PEREZ TAVERAS</t>
  </si>
  <si>
    <t>001-1420744-2</t>
  </si>
  <si>
    <t>SANTO BRAULIO ROSARIO ROSA</t>
  </si>
  <si>
    <t>003-0097520-8</t>
  </si>
  <si>
    <t>NANCY RAMONA GONZALEZ SOTO</t>
  </si>
  <si>
    <t>003-0058681-5</t>
  </si>
  <si>
    <t>BIENVENIDO DAMASO RODRIGUEZ PEREZ</t>
  </si>
  <si>
    <t>093-0018661-7</t>
  </si>
  <si>
    <t xml:space="preserve">CLEMENTE  GONZALEZ THEN </t>
  </si>
  <si>
    <t>001-1175379-4</t>
  </si>
  <si>
    <t xml:space="preserve">CARLOS MIGUEL  SANCHEZ ALMANZAR </t>
  </si>
  <si>
    <t>001-1175246-5</t>
  </si>
  <si>
    <t xml:space="preserve">LUIS BOLIVAR DE LOS  SANTOS LORENZO </t>
  </si>
  <si>
    <t>001-0071004-5</t>
  </si>
  <si>
    <t xml:space="preserve">MAXIMO  VALLEJO LORENZO </t>
  </si>
  <si>
    <t>001-1174119-5</t>
  </si>
  <si>
    <t xml:space="preserve">JOSE FRANCISCO  LOPEZ NUÑEZ </t>
  </si>
  <si>
    <t>001-1175217-6</t>
  </si>
  <si>
    <t xml:space="preserve">EDISON E. CUEVAS RODRIGUEZ </t>
  </si>
  <si>
    <t>001-1173853-0</t>
  </si>
  <si>
    <t xml:space="preserve">OSCAR MARIN  MARTE ALCANTARA </t>
  </si>
  <si>
    <t>001-1175448-7</t>
  </si>
  <si>
    <t xml:space="preserve">RAFAEL  FERRERAS MONTERO </t>
  </si>
  <si>
    <t>001-1176637-4</t>
  </si>
  <si>
    <t xml:space="preserve">JORGE LUIS  HOLGUIN ROMAN </t>
  </si>
  <si>
    <t>001-1177370-1</t>
  </si>
  <si>
    <t xml:space="preserve">FREDDY H.  FRANCO PELLERANO </t>
  </si>
  <si>
    <t>001-0780291-0</t>
  </si>
  <si>
    <t xml:space="preserve">JORGE ANTONIO  PEREZ COLON </t>
  </si>
  <si>
    <t>001-1256566-8</t>
  </si>
  <si>
    <t xml:space="preserve">BERNARDO GLIONEDIS  CUEVAS DIAZ </t>
  </si>
  <si>
    <t>001-1177838-7</t>
  </si>
  <si>
    <t xml:space="preserve">FELIX MANUEL  ESTEVEZ ESPINAL </t>
  </si>
  <si>
    <t>044-0016708-8</t>
  </si>
  <si>
    <t xml:space="preserve">ESTERLYNG  SUERO GARCIA </t>
  </si>
  <si>
    <t>001-1176316-5</t>
  </si>
  <si>
    <t xml:space="preserve">FRANCISCO  BRAZOBAN MARTINEZ </t>
  </si>
  <si>
    <t>001-0375551-8</t>
  </si>
  <si>
    <t xml:space="preserve">JOSE LUIS  PEREZ CAMINERO </t>
  </si>
  <si>
    <t>001-1349945-3</t>
  </si>
  <si>
    <t xml:space="preserve">SANDY OSCAR  RODRIGUEZ ROSARIO </t>
  </si>
  <si>
    <t>001-1261348-4</t>
  </si>
  <si>
    <t xml:space="preserve">NOQUEISY GRISALIDA  ZACARIAS ESTEVEZ </t>
  </si>
  <si>
    <t>034-0047459-3</t>
  </si>
  <si>
    <t xml:space="preserve">MERCED ANTONIO  SEVERINO GARCIA </t>
  </si>
  <si>
    <t>001-1173764-9</t>
  </si>
  <si>
    <t xml:space="preserve">JULIO  RODRIGUEZ </t>
  </si>
  <si>
    <t>086-0003197-8</t>
  </si>
  <si>
    <t xml:space="preserve">HECTOR MIGUEL DE LOS  SANTOS BERROA </t>
  </si>
  <si>
    <t>001-1258740-7</t>
  </si>
  <si>
    <t xml:space="preserve">DOMINGO A. VASQUEZ ZAPATA </t>
  </si>
  <si>
    <t>044-0017031-4</t>
  </si>
  <si>
    <t>SANTO  MARIANO HERNANDEZ</t>
  </si>
  <si>
    <t>001-1378005-0</t>
  </si>
  <si>
    <t xml:space="preserve">HERIBERTO  ORTIZ MARTINEZ </t>
  </si>
  <si>
    <t>001-1728788-8</t>
  </si>
  <si>
    <t>DULCE MARIA DIAZ DE MADRID</t>
  </si>
  <si>
    <t>001-1655082-3</t>
  </si>
  <si>
    <t>ray</t>
  </si>
  <si>
    <t xml:space="preserve">CARLOS MANUEL  ESPINAL TAVERAS </t>
  </si>
  <si>
    <t>001-1175649-0</t>
  </si>
  <si>
    <t xml:space="preserve">FRANCISCO DE LOS SANTOS  MENDEZ </t>
  </si>
  <si>
    <t>001-1175921-3</t>
  </si>
  <si>
    <t xml:space="preserve">YOJANNI MARTIN  ABREU VELAZQUEZ </t>
  </si>
  <si>
    <t>001-1422269-8</t>
  </si>
  <si>
    <t xml:space="preserve">ELLY FRANCISCO  GARCIA SANTOS </t>
  </si>
  <si>
    <t>001-1269088-8</t>
  </si>
  <si>
    <t xml:space="preserve">LENIN RAFAEL  MERCEDES JORGE </t>
  </si>
  <si>
    <t>008-0022683-9</t>
  </si>
  <si>
    <t xml:space="preserve">ERNESTO ALEXANDER  MERCEDES CRUZ </t>
  </si>
  <si>
    <t>001-1275959-2</t>
  </si>
  <si>
    <t xml:space="preserve">WELINGTON  CAISER SANTANA </t>
  </si>
  <si>
    <t>023-0093930-9</t>
  </si>
  <si>
    <t xml:space="preserve">HECTOR  CARRERAS LORENZO </t>
  </si>
  <si>
    <t>090-0015545-8</t>
  </si>
  <si>
    <t xml:space="preserve">JOSE FRANCISCO  DE LEON UREÑA </t>
  </si>
  <si>
    <t>031-0349964-0</t>
  </si>
  <si>
    <t xml:space="preserve">ANA MERCEDES  MEJIA DE LA CRUZ </t>
  </si>
  <si>
    <t>001-1474735-5</t>
  </si>
  <si>
    <t xml:space="preserve">CATALINA  LOMBERT CUEVAS </t>
  </si>
  <si>
    <t>001-1176932-9</t>
  </si>
  <si>
    <t xml:space="preserve">MAYRA ALTAGRACIA  HERNANDEZ CRUZ </t>
  </si>
  <si>
    <t>001-0491061-7</t>
  </si>
  <si>
    <t xml:space="preserve">EDINSSON  MAÑON FIGUEROA </t>
  </si>
  <si>
    <t>001-1507627-5</t>
  </si>
  <si>
    <t>DUVAL</t>
  </si>
  <si>
    <t xml:space="preserve">CATALINO  COCA SANTANA </t>
  </si>
  <si>
    <t>001-0579644-5</t>
  </si>
  <si>
    <t xml:space="preserve">ELFIS  SENA VASQUEZ </t>
  </si>
  <si>
    <t>070-0004860-8</t>
  </si>
  <si>
    <t xml:space="preserve">JOAN  BAEZ CASTILLO </t>
  </si>
  <si>
    <t>001-1509783-4</t>
  </si>
  <si>
    <t xml:space="preserve">FERMIN RAFAEL  DOMINGUEZ DE JESUS </t>
  </si>
  <si>
    <t>028-0077280-4</t>
  </si>
  <si>
    <t xml:space="preserve">NELSON ONEY  SANTANA CAMAYO </t>
  </si>
  <si>
    <t>004-0019380-1</t>
  </si>
  <si>
    <t xml:space="preserve">NATALIA  PLACENCIA FERMIN </t>
  </si>
  <si>
    <t>040-0009900-4</t>
  </si>
  <si>
    <t xml:space="preserve">WILLY JOSUE URBAEZ PEREZ </t>
  </si>
  <si>
    <t>001-1681650-5</t>
  </si>
  <si>
    <t xml:space="preserve">ANULFO  MATOS PEREZ </t>
  </si>
  <si>
    <t>018-0058793-1</t>
  </si>
  <si>
    <t xml:space="preserve">JOSE ANIBAL  PAULINO ROQUE </t>
  </si>
  <si>
    <t>001-1019083-2</t>
  </si>
  <si>
    <t xml:space="preserve">WINTONG  TAVAREZ PUNTIEL </t>
  </si>
  <si>
    <t>047-0150976-4</t>
  </si>
  <si>
    <t xml:space="preserve">PEDRO ANT. ALMANZAR SANTOS </t>
  </si>
  <si>
    <t>001-1332534-4</t>
  </si>
  <si>
    <t xml:space="preserve">MARCOS A.  RODRIGUEZ IMBERT </t>
  </si>
  <si>
    <t>001-1267233-2</t>
  </si>
  <si>
    <t xml:space="preserve">YNES LUISA  JIMENEZ PEGUERO </t>
  </si>
  <si>
    <t>001-1004897-2</t>
  </si>
  <si>
    <t xml:space="preserve">MARIA MILAGROS  AQUINO REYES </t>
  </si>
  <si>
    <t>001-0547019-9</t>
  </si>
  <si>
    <t xml:space="preserve">YUDY R.  VALERIO BRITO </t>
  </si>
  <si>
    <t>001-1248861-4</t>
  </si>
  <si>
    <t xml:space="preserve">MONICA  PIMENTEL JAVIER </t>
  </si>
  <si>
    <t>001-1160700-8</t>
  </si>
  <si>
    <t xml:space="preserve">BERKI DEL CARMEN HERNANDEZ GALVEZ </t>
  </si>
  <si>
    <t>001-1246853-3</t>
  </si>
  <si>
    <t xml:space="preserve">GERMANIA R  CASTILLO GUERRERO </t>
  </si>
  <si>
    <t>001-0558443-7</t>
  </si>
  <si>
    <t xml:space="preserve">SALOMON  ALMONTE VASQUEZ </t>
  </si>
  <si>
    <t>001-0634382-5</t>
  </si>
  <si>
    <t xml:space="preserve">MARINO  MORALES LOPEZ </t>
  </si>
  <si>
    <t>047-0039380-6</t>
  </si>
  <si>
    <t xml:space="preserve">MIOSSOTY  ROBLES GUZMAN </t>
  </si>
  <si>
    <t>001-1048562-0</t>
  </si>
  <si>
    <t xml:space="preserve">MIGUEL ENRIQUE  OGANDO PUELLO </t>
  </si>
  <si>
    <t>001-0488252-7</t>
  </si>
  <si>
    <t xml:space="preserve">JUANITA  BERROA DE MAÑON </t>
  </si>
  <si>
    <t>001-0632634-1</t>
  </si>
  <si>
    <t xml:space="preserve">PERCIO TORRES </t>
  </si>
  <si>
    <t>001-0597529-6</t>
  </si>
  <si>
    <t>OLGA  RAMIREZ  BERROA</t>
  </si>
  <si>
    <t>026-0014027-7</t>
  </si>
  <si>
    <t>GERMANIA MOREL MOREL</t>
  </si>
  <si>
    <t>001-0322117-2</t>
  </si>
  <si>
    <t>ROOVEL  RIVAS  FERRERAS</t>
  </si>
  <si>
    <t>001-0739367-0</t>
  </si>
  <si>
    <t xml:space="preserve">FRANCISCA  SEVERINO </t>
  </si>
  <si>
    <t>001-1251800-6</t>
  </si>
  <si>
    <t>JOSE  TOMAS ZORRILLA  MENA</t>
  </si>
  <si>
    <t>001-0687243-5</t>
  </si>
  <si>
    <t>LUIS  DE  LA CRUZ</t>
  </si>
  <si>
    <t>001-0682239-8</t>
  </si>
  <si>
    <t>duval</t>
  </si>
  <si>
    <t>DIONNY  TORRES  SANTOS</t>
  </si>
  <si>
    <t>001-1040634-5</t>
  </si>
  <si>
    <t>CANCELACIÓN DE NOMBRAMIENTO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</si>
</sst>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RD$&quot;#,##0.00"/>
    <numFmt numFmtId="165" formatCode="[$-1C0A]d&quot; de &quot;mmmm&quot; de &quot;yyyy;@"/>
    <numFmt numFmtId="166" formatCode="#,##0.00;[Red]#,##0.00"/>
    <numFmt numFmtId="167" formatCode="0.0%"/>
    <numFmt numFmtId="168" formatCode="_-* #,##0.00\ _€_-;\-* #,##0.00\ _€_-;_-* &quot;-&quot;??\ _€_-;_-@_-"/>
    <numFmt numFmtId="169" formatCode="_-* #,##0.00_-;\-* #,##0.00_-;_-* &quot;-&quot;??_-;_-@_-"/>
    <numFmt numFmtId="170" formatCode="000\-0000000\-0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b/>
      <shadow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w Cen MT"/>
      <family val="2"/>
    </font>
    <font>
      <b/>
      <sz val="10"/>
      <color indexed="8"/>
      <name val="Times New Roman"/>
      <family val="1"/>
    </font>
    <font>
      <sz val="11"/>
      <color indexed="8"/>
      <name val="Tw Cen MT"/>
      <family val="2"/>
    </font>
    <font>
      <b/>
      <shadow/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b/>
      <u/>
      <sz val="11"/>
      <name val="Times New Roman"/>
      <family val="1"/>
    </font>
    <font>
      <sz val="8"/>
      <color indexed="8"/>
      <name val="Times New Roman"/>
      <family val="1"/>
    </font>
    <font>
      <b/>
      <sz val="11"/>
      <color indexed="8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8" fillId="0" borderId="0"/>
    <xf numFmtId="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6" fillId="0" borderId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</cellStyleXfs>
  <cellXfs count="201">
    <xf numFmtId="0" fontId="0" fillId="0" borderId="0" xfId="0"/>
    <xf numFmtId="0" fontId="1" fillId="0" borderId="0" xfId="0" applyFont="1"/>
    <xf numFmtId="14" fontId="2" fillId="0" borderId="0" xfId="0" applyNumberFormat="1" applyFont="1" applyAlignment="1">
      <alignment vertical="center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0" xfId="0" applyFont="1"/>
    <xf numFmtId="0" fontId="2" fillId="0" borderId="0" xfId="0" applyFont="1"/>
    <xf numFmtId="0" fontId="7" fillId="3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2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164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0" xfId="0" applyNumberFormat="1" applyFont="1" applyAlignment="1" applyProtection="1">
      <alignment horizontal="center" vertical="center" wrapText="1"/>
      <protection locked="0"/>
    </xf>
    <xf numFmtId="165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left"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14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6" fillId="7" borderId="0" xfId="1" applyFont="1" applyFill="1" applyAlignment="1">
      <alignment horizontal="center" vertical="center" wrapText="1"/>
    </xf>
    <xf numFmtId="0" fontId="7" fillId="7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164" fontId="6" fillId="7" borderId="0" xfId="0" applyNumberFormat="1" applyFont="1" applyFill="1" applyAlignment="1">
      <alignment horizontal="center" vertical="center" wrapText="1"/>
    </xf>
    <xf numFmtId="10" fontId="6" fillId="7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left"/>
    </xf>
    <xf numFmtId="164" fontId="3" fillId="0" borderId="0" xfId="0" applyNumberFormat="1" applyFont="1" applyAlignment="1" applyProtection="1">
      <alignment horizontal="left" vertical="center"/>
      <protection locked="0"/>
    </xf>
    <xf numFmtId="0" fontId="6" fillId="0" borderId="0" xfId="1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0" fontId="6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left" vertical="center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2" fontId="6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164" fontId="6" fillId="4" borderId="8" xfId="0" applyNumberFormat="1" applyFont="1" applyFill="1" applyBorder="1" applyAlignment="1" applyProtection="1">
      <alignment horizontal="center" vertical="center" wrapText="1"/>
      <protection locked="0"/>
    </xf>
    <xf numFmtId="165" fontId="6" fillId="4" borderId="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8" xfId="0" applyNumberFormat="1" applyFont="1" applyFill="1" applyBorder="1" applyAlignment="1" applyProtection="1">
      <alignment horizontal="center" vertical="center" wrapText="1"/>
      <protection locked="0"/>
    </xf>
    <xf numFmtId="165" fontId="6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2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/>
    <xf numFmtId="0" fontId="3" fillId="0" borderId="1" xfId="0" applyFont="1" applyBorder="1" applyAlignment="1">
      <alignment vertical="center" wrapText="1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167" fontId="3" fillId="0" borderId="1" xfId="2" applyNumberFormat="1" applyFont="1" applyBorder="1" applyAlignment="1">
      <alignment horizontal="center" vertical="center" wrapText="1"/>
    </xf>
    <xf numFmtId="164" fontId="3" fillId="0" borderId="1" xfId="3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7" fontId="3" fillId="0" borderId="1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0" borderId="1" xfId="4" applyFont="1" applyBorder="1" applyAlignment="1">
      <alignment horizontal="center" vertical="center" wrapText="1"/>
    </xf>
    <xf numFmtId="0" fontId="3" fillId="0" borderId="1" xfId="4" applyFont="1" applyBorder="1" applyAlignment="1">
      <alignment vertical="center" wrapText="1"/>
    </xf>
    <xf numFmtId="9" fontId="3" fillId="0" borderId="1" xfId="5" applyFont="1" applyFill="1" applyBorder="1" applyAlignment="1">
      <alignment horizontal="center" vertical="center" wrapText="1"/>
    </xf>
    <xf numFmtId="0" fontId="3" fillId="0" borderId="1" xfId="4" applyFont="1" applyBorder="1" applyAlignment="1" applyProtection="1">
      <alignment horizontal="center" vertical="center" wrapText="1"/>
      <protection locked="0"/>
    </xf>
    <xf numFmtId="164" fontId="3" fillId="0" borderId="1" xfId="6" applyNumberFormat="1" applyFont="1" applyFill="1" applyBorder="1" applyAlignment="1">
      <alignment horizontal="center" vertical="center"/>
    </xf>
    <xf numFmtId="14" fontId="3" fillId="0" borderId="1" xfId="4" applyNumberFormat="1" applyFont="1" applyBorder="1" applyAlignment="1">
      <alignment horizontal="center" vertical="center" wrapText="1"/>
    </xf>
    <xf numFmtId="14" fontId="3" fillId="0" borderId="1" xfId="4" applyNumberFormat="1" applyFont="1" applyBorder="1" applyAlignment="1">
      <alignment vertical="center" wrapText="1"/>
    </xf>
    <xf numFmtId="0" fontId="3" fillId="8" borderId="1" xfId="4" applyFont="1" applyFill="1" applyBorder="1" applyAlignment="1">
      <alignment vertical="center" wrapText="1"/>
    </xf>
    <xf numFmtId="0" fontId="3" fillId="6" borderId="1" xfId="4" applyFont="1" applyFill="1" applyBorder="1" applyAlignment="1">
      <alignment vertical="center" wrapText="1"/>
    </xf>
    <xf numFmtId="0" fontId="3" fillId="0" borderId="0" xfId="4" applyFont="1" applyAlignment="1">
      <alignment vertical="center" wrapText="1"/>
    </xf>
    <xf numFmtId="167" fontId="3" fillId="0" borderId="1" xfId="5" applyNumberFormat="1" applyFont="1" applyFill="1" applyBorder="1" applyAlignment="1">
      <alignment horizontal="center" vertical="center" wrapText="1"/>
    </xf>
    <xf numFmtId="0" fontId="17" fillId="0" borderId="1" xfId="4" applyFont="1" applyBorder="1" applyAlignment="1">
      <alignment vertical="center" wrapText="1"/>
    </xf>
    <xf numFmtId="0" fontId="2" fillId="9" borderId="0" xfId="0" applyFont="1" applyFill="1"/>
    <xf numFmtId="14" fontId="2" fillId="0" borderId="0" xfId="0" applyNumberFormat="1" applyFont="1"/>
    <xf numFmtId="0" fontId="17" fillId="6" borderId="1" xfId="4" applyFont="1" applyFill="1" applyBorder="1" applyAlignment="1">
      <alignment vertical="center" wrapText="1"/>
    </xf>
    <xf numFmtId="14" fontId="20" fillId="0" borderId="0" xfId="0" applyNumberFormat="1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0" fillId="5" borderId="1" xfId="0" applyFont="1" applyFill="1" applyBorder="1" applyAlignment="1" applyProtection="1">
      <alignment horizontal="center" vertical="center"/>
      <protection locked="0"/>
    </xf>
    <xf numFmtId="0" fontId="20" fillId="5" borderId="1" xfId="0" applyFont="1" applyFill="1" applyBorder="1" applyAlignment="1" applyProtection="1">
      <alignment horizontal="center" vertical="center" wrapText="1"/>
      <protection locked="0"/>
    </xf>
    <xf numFmtId="2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7" xfId="0" applyFont="1" applyFill="1" applyBorder="1" applyAlignment="1" applyProtection="1">
      <alignment horizontal="center" vertical="center" wrapText="1"/>
      <protection locked="0"/>
    </xf>
    <xf numFmtId="0" fontId="20" fillId="5" borderId="6" xfId="0" applyFont="1" applyFill="1" applyBorder="1" applyAlignment="1" applyProtection="1">
      <alignment horizontal="center" vertical="center" wrapText="1"/>
      <protection locked="0"/>
    </xf>
    <xf numFmtId="164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165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165" fontId="20" fillId="0" borderId="0" xfId="0" applyNumberFormat="1" applyFont="1" applyAlignment="1" applyProtection="1">
      <alignment horizontal="center" vertical="center" wrapText="1"/>
      <protection locked="0"/>
    </xf>
    <xf numFmtId="0" fontId="21" fillId="2" borderId="1" xfId="0" applyFont="1" applyFill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23" fillId="0" borderId="1" xfId="4" applyFont="1" applyBorder="1" applyAlignment="1">
      <alignment vertical="center" wrapText="1"/>
    </xf>
    <xf numFmtId="0" fontId="19" fillId="3" borderId="0" xfId="0" applyFont="1" applyFill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165" fontId="20" fillId="0" borderId="1" xfId="0" applyNumberFormat="1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horizontal="left" vertical="center" wrapText="1"/>
      <protection locked="0"/>
    </xf>
    <xf numFmtId="170" fontId="22" fillId="0" borderId="1" xfId="0" applyNumberFormat="1" applyFont="1" applyBorder="1" applyAlignment="1" applyProtection="1">
      <alignment horizontal="center" vertical="center" wrapText="1"/>
      <protection locked="0"/>
    </xf>
    <xf numFmtId="167" fontId="22" fillId="0" borderId="1" xfId="0" applyNumberFormat="1" applyFont="1" applyBorder="1" applyAlignment="1" applyProtection="1">
      <alignment horizontal="center" vertical="center"/>
      <protection locked="0"/>
    </xf>
    <xf numFmtId="164" fontId="22" fillId="0" borderId="1" xfId="0" applyNumberFormat="1" applyFont="1" applyBorder="1" applyAlignment="1" applyProtection="1">
      <alignment horizontal="center" vertical="center" wrapText="1"/>
      <protection locked="0"/>
    </xf>
    <xf numFmtId="14" fontId="22" fillId="0" borderId="1" xfId="0" applyNumberFormat="1" applyFont="1" applyBorder="1" applyAlignment="1" applyProtection="1">
      <alignment horizontal="center" vertical="center" wrapText="1"/>
      <protection locked="0"/>
    </xf>
    <xf numFmtId="14" fontId="22" fillId="0" borderId="0" xfId="0" applyNumberFormat="1" applyFont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left" vertical="center"/>
      <protection locked="0"/>
    </xf>
    <xf numFmtId="0" fontId="22" fillId="4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4" fillId="5" borderId="1" xfId="0" applyFont="1" applyFill="1" applyBorder="1" applyAlignment="1" applyProtection="1">
      <alignment horizontal="center" vertical="center"/>
      <protection locked="0"/>
    </xf>
    <xf numFmtId="164" fontId="20" fillId="5" borderId="8" xfId="0" applyNumberFormat="1" applyFont="1" applyFill="1" applyBorder="1" applyAlignment="1" applyProtection="1">
      <alignment horizontal="center" vertical="center"/>
      <protection locked="0"/>
    </xf>
    <xf numFmtId="14" fontId="22" fillId="3" borderId="0" xfId="0" applyNumberFormat="1" applyFont="1" applyFill="1" applyAlignment="1" applyProtection="1">
      <alignment horizontal="center" vertical="center" wrapText="1"/>
      <protection locked="0"/>
    </xf>
    <xf numFmtId="164" fontId="20" fillId="5" borderId="0" xfId="0" applyNumberFormat="1" applyFont="1" applyFill="1" applyAlignment="1" applyProtection="1">
      <alignment horizontal="center" vertical="center"/>
      <protection locked="0"/>
    </xf>
    <xf numFmtId="165" fontId="20" fillId="3" borderId="0" xfId="0" applyNumberFormat="1" applyFont="1" applyFill="1" applyAlignment="1" applyProtection="1">
      <alignment horizontal="left" vertical="center" wrapText="1"/>
      <protection locked="0"/>
    </xf>
    <xf numFmtId="14" fontId="20" fillId="3" borderId="0" xfId="0" applyNumberFormat="1" applyFont="1" applyFill="1" applyAlignment="1" applyProtection="1">
      <alignment horizontal="center" vertical="center"/>
      <protection locked="0"/>
    </xf>
    <xf numFmtId="0" fontId="21" fillId="3" borderId="0" xfId="0" applyFont="1" applyFill="1" applyAlignment="1" applyProtection="1">
      <alignment horizontal="center" vertical="center"/>
      <protection locked="0"/>
    </xf>
    <xf numFmtId="0" fontId="20" fillId="3" borderId="0" xfId="0" applyFont="1" applyFill="1" applyAlignment="1" applyProtection="1">
      <alignment horizontal="left" vertical="center"/>
      <protection locked="0"/>
    </xf>
    <xf numFmtId="0" fontId="21" fillId="3" borderId="0" xfId="0" applyFont="1" applyFill="1" applyAlignment="1" applyProtection="1">
      <alignment horizontal="left" vertical="center"/>
      <protection locked="0"/>
    </xf>
    <xf numFmtId="0" fontId="25" fillId="0" borderId="1" xfId="4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9" fontId="22" fillId="0" borderId="1" xfId="0" applyNumberFormat="1" applyFont="1" applyBorder="1" applyAlignment="1" applyProtection="1">
      <alignment horizontal="center" vertical="center"/>
      <protection locked="0"/>
    </xf>
    <xf numFmtId="166" fontId="21" fillId="0" borderId="1" xfId="0" applyNumberFormat="1" applyFont="1" applyBorder="1" applyAlignment="1" applyProtection="1">
      <alignment horizontal="left" vertical="center" wrapText="1"/>
      <protection locked="0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9" fillId="0" borderId="1" xfId="0" applyFont="1" applyBorder="1" applyAlignment="1" applyProtection="1">
      <alignment vertical="center"/>
      <protection locked="0"/>
    </xf>
    <xf numFmtId="0" fontId="0" fillId="0" borderId="1" xfId="0" applyBorder="1"/>
    <xf numFmtId="0" fontId="22" fillId="0" borderId="1" xfId="0" applyFont="1" applyBorder="1" applyAlignment="1">
      <alignment vertical="center" wrapText="1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7" fontId="22" fillId="0" borderId="1" xfId="2" applyNumberFormat="1" applyFont="1" applyFill="1" applyBorder="1" applyAlignment="1">
      <alignment horizontal="center" vertical="center" wrapText="1"/>
    </xf>
    <xf numFmtId="164" fontId="22" fillId="0" borderId="1" xfId="3" applyNumberFormat="1" applyFont="1" applyFill="1" applyBorder="1" applyAlignment="1">
      <alignment horizontal="center" vertical="center"/>
    </xf>
    <xf numFmtId="14" fontId="22" fillId="0" borderId="1" xfId="0" applyNumberFormat="1" applyFont="1" applyBorder="1" applyAlignment="1">
      <alignment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1" fillId="0" borderId="1" xfId="0" applyFont="1" applyBorder="1" applyAlignment="1">
      <alignment horizontal="left" vertical="center" wrapText="1"/>
    </xf>
    <xf numFmtId="167" fontId="22" fillId="0" borderId="1" xfId="2" applyNumberFormat="1" applyFont="1" applyBorder="1" applyAlignment="1">
      <alignment horizontal="center" vertical="center" wrapText="1"/>
    </xf>
    <xf numFmtId="0" fontId="21" fillId="3" borderId="5" xfId="0" applyFont="1" applyFill="1" applyBorder="1" applyAlignment="1" applyProtection="1">
      <alignment horizontal="center" vertical="center" wrapText="1"/>
      <protection locked="0"/>
    </xf>
    <xf numFmtId="164" fontId="22" fillId="0" borderId="1" xfId="3" applyNumberFormat="1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49" fontId="21" fillId="0" borderId="5" xfId="0" applyNumberFormat="1" applyFont="1" applyBorder="1" applyAlignment="1">
      <alignment horizontal="center" vertical="center"/>
    </xf>
    <xf numFmtId="14" fontId="21" fillId="0" borderId="1" xfId="0" applyNumberFormat="1" applyFont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/>
    </xf>
    <xf numFmtId="0" fontId="21" fillId="3" borderId="1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164" fontId="22" fillId="0" borderId="1" xfId="6" applyNumberFormat="1" applyFont="1" applyFill="1" applyBorder="1" applyAlignment="1">
      <alignment horizontal="center" vertical="center"/>
    </xf>
    <xf numFmtId="0" fontId="22" fillId="0" borderId="5" xfId="0" applyFont="1" applyBorder="1" applyAlignment="1" applyProtection="1">
      <alignment vertical="center" wrapText="1"/>
      <protection locked="0"/>
    </xf>
    <xf numFmtId="0" fontId="22" fillId="0" borderId="11" xfId="0" applyFont="1" applyBorder="1" applyAlignment="1" applyProtection="1">
      <alignment vertical="center" wrapText="1"/>
      <protection locked="0"/>
    </xf>
    <xf numFmtId="0" fontId="22" fillId="0" borderId="6" xfId="0" applyFont="1" applyBorder="1" applyAlignment="1" applyProtection="1">
      <alignment vertical="center" wrapText="1"/>
      <protection locked="0"/>
    </xf>
    <xf numFmtId="0" fontId="12" fillId="0" borderId="0" xfId="0" applyFont="1"/>
    <xf numFmtId="0" fontId="26" fillId="0" borderId="1" xfId="0" applyFont="1" applyBorder="1" applyAlignment="1" applyProtection="1">
      <alignment horizontal="left" vertical="center"/>
      <protection locked="0"/>
    </xf>
    <xf numFmtId="0" fontId="22" fillId="10" borderId="1" xfId="0" applyFont="1" applyFill="1" applyBorder="1" applyAlignment="1" applyProtection="1">
      <alignment horizontal="center" vertical="center"/>
      <protection locked="0"/>
    </xf>
    <xf numFmtId="0" fontId="22" fillId="6" borderId="1" xfId="0" applyFont="1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0" fillId="5" borderId="5" xfId="0" applyFont="1" applyFill="1" applyBorder="1" applyAlignment="1" applyProtection="1">
      <alignment horizontal="center" vertical="center" wrapText="1"/>
      <protection locked="0"/>
    </xf>
    <xf numFmtId="0" fontId="20" fillId="5" borderId="6" xfId="0" applyFont="1" applyFill="1" applyBorder="1" applyAlignment="1" applyProtection="1">
      <alignment horizontal="center" vertical="center" wrapText="1"/>
      <protection locked="0"/>
    </xf>
    <xf numFmtId="0" fontId="19" fillId="3" borderId="5" xfId="0" applyFont="1" applyFill="1" applyBorder="1" applyAlignment="1" applyProtection="1">
      <alignment horizontal="center" vertical="center"/>
      <protection locked="0"/>
    </xf>
    <xf numFmtId="0" fontId="19" fillId="3" borderId="11" xfId="0" applyFont="1" applyFill="1" applyBorder="1" applyAlignment="1" applyProtection="1">
      <alignment horizontal="center" vertical="center"/>
      <protection locked="0"/>
    </xf>
    <xf numFmtId="0" fontId="19" fillId="3" borderId="6" xfId="0" applyFont="1" applyFill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20" fillId="5" borderId="5" xfId="0" applyFont="1" applyFill="1" applyBorder="1" applyAlignment="1" applyProtection="1">
      <alignment horizontal="right" vertical="center" wrapText="1"/>
      <protection locked="0"/>
    </xf>
    <xf numFmtId="0" fontId="20" fillId="5" borderId="11" xfId="0" applyFont="1" applyFill="1" applyBorder="1" applyAlignment="1" applyProtection="1">
      <alignment horizontal="right" vertical="center" wrapText="1"/>
      <protection locked="0"/>
    </xf>
    <xf numFmtId="0" fontId="20" fillId="5" borderId="6" xfId="0" applyFont="1" applyFill="1" applyBorder="1" applyAlignment="1" applyProtection="1">
      <alignment horizontal="right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</cellXfs>
  <cellStyles count="7">
    <cellStyle name="Millares 2" xfId="3" xr:uid="{00000000-0005-0000-0000-000000000000}"/>
    <cellStyle name="Millares 2 2" xfId="6" xr:uid="{00000000-0005-0000-0000-000001000000}"/>
    <cellStyle name="Normal" xfId="0" builtinId="0"/>
    <cellStyle name="Normal 2" xfId="1" xr:uid="{00000000-0005-0000-0000-000003000000}"/>
    <cellStyle name="Normal 2 2" xfId="4" xr:uid="{00000000-0005-0000-0000-000004000000}"/>
    <cellStyle name="Porcentaje" xfId="2" builtinId="5"/>
    <cellStyle name="Porcentaje 2" xfId="5" xr:uid="{00000000-0005-0000-0000-000006000000}"/>
  </cellStyles>
  <dxfs count="214"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1.pn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1.pn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1.pn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1.pn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246</xdr:row>
      <xdr:rowOff>0</xdr:rowOff>
    </xdr:from>
    <xdr:to>
      <xdr:col>4</xdr:col>
      <xdr:colOff>0</xdr:colOff>
      <xdr:row>246</xdr:row>
      <xdr:rowOff>9525</xdr:rowOff>
    </xdr:to>
    <xdr:pic>
      <xdr:nvPicPr>
        <xdr:cNvPr id="2" name="215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7725" y="132245100"/>
          <a:ext cx="9525" cy="95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246</xdr:row>
      <xdr:rowOff>0</xdr:rowOff>
    </xdr:from>
    <xdr:to>
      <xdr:col>2</xdr:col>
      <xdr:colOff>1183409</xdr:colOff>
      <xdr:row>248</xdr:row>
      <xdr:rowOff>28864</xdr:rowOff>
    </xdr:to>
    <xdr:pic>
      <xdr:nvPicPr>
        <xdr:cNvPr id="3" name="2153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132245100"/>
          <a:ext cx="1183409" cy="11718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2</xdr:col>
      <xdr:colOff>1183409</xdr:colOff>
      <xdr:row>257</xdr:row>
      <xdr:rowOff>28863</xdr:rowOff>
    </xdr:to>
    <xdr:pic>
      <xdr:nvPicPr>
        <xdr:cNvPr id="4" name="2157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137388600"/>
          <a:ext cx="1183409" cy="1171863"/>
        </a:xfrm>
        <a:prstGeom prst="rect">
          <a:avLst/>
        </a:prstGeom>
      </xdr:spPr>
    </xdr:pic>
    <xdr:clientData/>
  </xdr:twoCellAnchor>
  <xdr:twoCellAnchor editAs="oneCell">
    <xdr:from>
      <xdr:col>1</xdr:col>
      <xdr:colOff>230910</xdr:colOff>
      <xdr:row>258</xdr:row>
      <xdr:rowOff>129887</xdr:rowOff>
    </xdr:from>
    <xdr:to>
      <xdr:col>2</xdr:col>
      <xdr:colOff>880341</xdr:colOff>
      <xdr:row>259</xdr:row>
      <xdr:rowOff>432954</xdr:rowOff>
    </xdr:to>
    <xdr:pic>
      <xdr:nvPicPr>
        <xdr:cNvPr id="5" name="216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139232987"/>
          <a:ext cx="880341" cy="87456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259</xdr:row>
      <xdr:rowOff>0</xdr:rowOff>
    </xdr:from>
    <xdr:to>
      <xdr:col>9</xdr:col>
      <xdr:colOff>960858</xdr:colOff>
      <xdr:row>260</xdr:row>
      <xdr:rowOff>389660</xdr:rowOff>
    </xdr:to>
    <xdr:pic>
      <xdr:nvPicPr>
        <xdr:cNvPr id="6" name="2161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7725" y="139674600"/>
          <a:ext cx="965160" cy="961160"/>
        </a:xfrm>
        <a:prstGeom prst="rect">
          <a:avLst/>
        </a:prstGeom>
      </xdr:spPr>
    </xdr:pic>
    <xdr:clientData/>
  </xdr:twoCellAnchor>
  <xdr:twoCellAnchor editAs="oneCell">
    <xdr:from>
      <xdr:col>1</xdr:col>
      <xdr:colOff>303069</xdr:colOff>
      <xdr:row>287</xdr:row>
      <xdr:rowOff>0</xdr:rowOff>
    </xdr:from>
    <xdr:to>
      <xdr:col>2</xdr:col>
      <xdr:colOff>779318</xdr:colOff>
      <xdr:row>288</xdr:row>
      <xdr:rowOff>202044</xdr:rowOff>
    </xdr:to>
    <xdr:pic>
      <xdr:nvPicPr>
        <xdr:cNvPr id="7" name="2183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154771725"/>
          <a:ext cx="779318" cy="77354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288</xdr:row>
      <xdr:rowOff>0</xdr:rowOff>
    </xdr:from>
    <xdr:to>
      <xdr:col>9</xdr:col>
      <xdr:colOff>721591</xdr:colOff>
      <xdr:row>289</xdr:row>
      <xdr:rowOff>144318</xdr:rowOff>
    </xdr:to>
    <xdr:pic>
      <xdr:nvPicPr>
        <xdr:cNvPr id="8" name="2225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7725" y="155343225"/>
          <a:ext cx="721591" cy="715818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254</xdr:row>
      <xdr:rowOff>0</xdr:rowOff>
    </xdr:from>
    <xdr:to>
      <xdr:col>4</xdr:col>
      <xdr:colOff>0</xdr:colOff>
      <xdr:row>254</xdr:row>
      <xdr:rowOff>9525</xdr:rowOff>
    </xdr:to>
    <xdr:pic>
      <xdr:nvPicPr>
        <xdr:cNvPr id="9" name="2229 Imagen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7725" y="136817100"/>
          <a:ext cx="9525" cy="95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262</xdr:row>
      <xdr:rowOff>0</xdr:rowOff>
    </xdr:from>
    <xdr:to>
      <xdr:col>4</xdr:col>
      <xdr:colOff>0</xdr:colOff>
      <xdr:row>262</xdr:row>
      <xdr:rowOff>9525</xdr:rowOff>
    </xdr:to>
    <xdr:pic>
      <xdr:nvPicPr>
        <xdr:cNvPr id="10" name="2230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7725" y="141389100"/>
          <a:ext cx="9525" cy="95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263</xdr:row>
      <xdr:rowOff>0</xdr:rowOff>
    </xdr:from>
    <xdr:to>
      <xdr:col>4</xdr:col>
      <xdr:colOff>0</xdr:colOff>
      <xdr:row>263</xdr:row>
      <xdr:rowOff>9525</xdr:rowOff>
    </xdr:to>
    <xdr:pic>
      <xdr:nvPicPr>
        <xdr:cNvPr id="11" name="2231 Imagen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7725" y="141960600"/>
          <a:ext cx="9525" cy="95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0</xdr:colOff>
      <xdr:row>264</xdr:row>
      <xdr:rowOff>9525</xdr:rowOff>
    </xdr:to>
    <xdr:pic>
      <xdr:nvPicPr>
        <xdr:cNvPr id="12" name="2232 Imagen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7725" y="142532100"/>
          <a:ext cx="9525" cy="95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0</xdr:colOff>
      <xdr:row>265</xdr:row>
      <xdr:rowOff>9525</xdr:rowOff>
    </xdr:to>
    <xdr:pic>
      <xdr:nvPicPr>
        <xdr:cNvPr id="13" name="2233 Imagen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7725" y="143103600"/>
          <a:ext cx="9525" cy="9525"/>
        </a:xfrm>
        <a:prstGeom prst="rect">
          <a:avLst/>
        </a:prstGeom>
      </xdr:spPr>
    </xdr:pic>
    <xdr:clientData/>
  </xdr:twoCellAnchor>
  <xdr:twoCellAnchor>
    <xdr:from>
      <xdr:col>1</xdr:col>
      <xdr:colOff>101023</xdr:colOff>
      <xdr:row>77</xdr:row>
      <xdr:rowOff>101022</xdr:rowOff>
    </xdr:from>
    <xdr:to>
      <xdr:col>1</xdr:col>
      <xdr:colOff>1255568</xdr:colOff>
      <xdr:row>77</xdr:row>
      <xdr:rowOff>1154546</xdr:rowOff>
    </xdr:to>
    <xdr:pic>
      <xdr:nvPicPr>
        <xdr:cNvPr id="14" name="43 Imagen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37572372"/>
          <a:ext cx="0" cy="472499"/>
        </a:xfrm>
        <a:prstGeom prst="rect">
          <a:avLst/>
        </a:prstGeom>
      </xdr:spPr>
    </xdr:pic>
    <xdr:clientData/>
  </xdr:twoCellAnchor>
  <xdr:twoCellAnchor>
    <xdr:from>
      <xdr:col>1</xdr:col>
      <xdr:colOff>115455</xdr:colOff>
      <xdr:row>78</xdr:row>
      <xdr:rowOff>43295</xdr:rowOff>
    </xdr:from>
    <xdr:to>
      <xdr:col>1</xdr:col>
      <xdr:colOff>1284432</xdr:colOff>
      <xdr:row>78</xdr:row>
      <xdr:rowOff>1140113</xdr:rowOff>
    </xdr:to>
    <xdr:pic>
      <xdr:nvPicPr>
        <xdr:cNvPr id="15" name="44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38086145"/>
          <a:ext cx="0" cy="525318"/>
        </a:xfrm>
        <a:prstGeom prst="rect">
          <a:avLst/>
        </a:prstGeom>
      </xdr:spPr>
    </xdr:pic>
    <xdr:clientData/>
  </xdr:twoCellAnchor>
  <xdr:twoCellAnchor editAs="oneCell">
    <xdr:from>
      <xdr:col>3</xdr:col>
      <xdr:colOff>757903</xdr:colOff>
      <xdr:row>0</xdr:row>
      <xdr:rowOff>61452</xdr:rowOff>
    </xdr:from>
    <xdr:to>
      <xdr:col>3</xdr:col>
      <xdr:colOff>2546291</xdr:colOff>
      <xdr:row>8</xdr:row>
      <xdr:rowOff>48982</xdr:rowOff>
    </xdr:to>
    <xdr:pic>
      <xdr:nvPicPr>
        <xdr:cNvPr id="16" name="Imagen 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3145" y="61452"/>
          <a:ext cx="1788388" cy="1298498"/>
        </a:xfrm>
        <a:prstGeom prst="rect">
          <a:avLst/>
        </a:prstGeom>
      </xdr:spPr>
    </xdr:pic>
    <xdr:clientData/>
  </xdr:twoCellAnchor>
  <xdr:twoCellAnchor>
    <xdr:from>
      <xdr:col>5</xdr:col>
      <xdr:colOff>374365</xdr:colOff>
      <xdr:row>11</xdr:row>
      <xdr:rowOff>186915</xdr:rowOff>
    </xdr:from>
    <xdr:to>
      <xdr:col>7</xdr:col>
      <xdr:colOff>464440</xdr:colOff>
      <xdr:row>12</xdr:row>
      <xdr:rowOff>7681</xdr:rowOff>
    </xdr:to>
    <xdr:cxnSp macro="">
      <xdr:nvCxnSpPr>
        <xdr:cNvPr id="17" name="5 Conector rect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rot="10800000" flipH="1">
          <a:off x="5117815" y="2263365"/>
          <a:ext cx="1956975" cy="2079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238</xdr:row>
      <xdr:rowOff>0</xdr:rowOff>
    </xdr:from>
    <xdr:to>
      <xdr:col>9</xdr:col>
      <xdr:colOff>27672</xdr:colOff>
      <xdr:row>238</xdr:row>
      <xdr:rowOff>8932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3725" y="128911350"/>
          <a:ext cx="27672" cy="893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238</xdr:row>
      <xdr:rowOff>0</xdr:rowOff>
    </xdr:from>
    <xdr:to>
      <xdr:col>9</xdr:col>
      <xdr:colOff>27672</xdr:colOff>
      <xdr:row>238</xdr:row>
      <xdr:rowOff>8932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3725" y="128911350"/>
          <a:ext cx="27672" cy="893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0</xdr:colOff>
      <xdr:row>355</xdr:row>
      <xdr:rowOff>9525</xdr:rowOff>
    </xdr:to>
    <xdr:pic>
      <xdr:nvPicPr>
        <xdr:cNvPr id="4" name="2152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33725" y="194795775"/>
          <a:ext cx="9525" cy="95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355</xdr:row>
      <xdr:rowOff>0</xdr:rowOff>
    </xdr:from>
    <xdr:to>
      <xdr:col>2</xdr:col>
      <xdr:colOff>1180478</xdr:colOff>
      <xdr:row>358</xdr:row>
      <xdr:rowOff>439172</xdr:rowOff>
    </xdr:to>
    <xdr:pic>
      <xdr:nvPicPr>
        <xdr:cNvPr id="5" name="2153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0" y="194795775"/>
          <a:ext cx="1183409" cy="11725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355</xdr:row>
      <xdr:rowOff>0</xdr:rowOff>
    </xdr:from>
    <xdr:to>
      <xdr:col>2</xdr:col>
      <xdr:colOff>1180478</xdr:colOff>
      <xdr:row>358</xdr:row>
      <xdr:rowOff>439171</xdr:rowOff>
    </xdr:to>
    <xdr:pic>
      <xdr:nvPicPr>
        <xdr:cNvPr id="6" name="2157 Imagen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0" y="194795775"/>
          <a:ext cx="1183409" cy="1172595"/>
        </a:xfrm>
        <a:prstGeom prst="rect">
          <a:avLst/>
        </a:prstGeom>
      </xdr:spPr>
    </xdr:pic>
    <xdr:clientData/>
  </xdr:twoCellAnchor>
  <xdr:twoCellAnchor editAs="oneCell">
    <xdr:from>
      <xdr:col>1</xdr:col>
      <xdr:colOff>230910</xdr:colOff>
      <xdr:row>355</xdr:row>
      <xdr:rowOff>0</xdr:rowOff>
    </xdr:from>
    <xdr:to>
      <xdr:col>2</xdr:col>
      <xdr:colOff>880341</xdr:colOff>
      <xdr:row>358</xdr:row>
      <xdr:rowOff>141875</xdr:rowOff>
    </xdr:to>
    <xdr:pic>
      <xdr:nvPicPr>
        <xdr:cNvPr id="7" name="2160 Imagen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0" y="194795775"/>
          <a:ext cx="880341" cy="875299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0</xdr:colOff>
      <xdr:row>355</xdr:row>
      <xdr:rowOff>9525</xdr:rowOff>
    </xdr:to>
    <xdr:pic>
      <xdr:nvPicPr>
        <xdr:cNvPr id="9" name="2229 Imagen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33725" y="194795775"/>
          <a:ext cx="9525" cy="95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0</xdr:colOff>
      <xdr:row>355</xdr:row>
      <xdr:rowOff>9525</xdr:rowOff>
    </xdr:to>
    <xdr:pic>
      <xdr:nvPicPr>
        <xdr:cNvPr id="10" name="2230 Imagen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33725" y="194795775"/>
          <a:ext cx="9525" cy="95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0</xdr:colOff>
      <xdr:row>355</xdr:row>
      <xdr:rowOff>9525</xdr:rowOff>
    </xdr:to>
    <xdr:pic>
      <xdr:nvPicPr>
        <xdr:cNvPr id="11" name="2231 Imagen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33725" y="194795775"/>
          <a:ext cx="9525" cy="95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0</xdr:colOff>
      <xdr:row>355</xdr:row>
      <xdr:rowOff>9525</xdr:rowOff>
    </xdr:to>
    <xdr:pic>
      <xdr:nvPicPr>
        <xdr:cNvPr id="12" name="2232 Imagen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33725" y="194795775"/>
          <a:ext cx="9525" cy="95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0</xdr:colOff>
      <xdr:row>355</xdr:row>
      <xdr:rowOff>9525</xdr:rowOff>
    </xdr:to>
    <xdr:pic>
      <xdr:nvPicPr>
        <xdr:cNvPr id="13" name="2233 Imagen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33725" y="194795775"/>
          <a:ext cx="9525" cy="9525"/>
        </a:xfrm>
        <a:prstGeom prst="rect">
          <a:avLst/>
        </a:prstGeom>
      </xdr:spPr>
    </xdr:pic>
    <xdr:clientData/>
  </xdr:twoCellAnchor>
  <xdr:twoCellAnchor editAs="oneCell">
    <xdr:from>
      <xdr:col>1</xdr:col>
      <xdr:colOff>303069</xdr:colOff>
      <xdr:row>377</xdr:row>
      <xdr:rowOff>0</xdr:rowOff>
    </xdr:from>
    <xdr:to>
      <xdr:col>2</xdr:col>
      <xdr:colOff>779318</xdr:colOff>
      <xdr:row>385</xdr:row>
      <xdr:rowOff>128775</xdr:rowOff>
    </xdr:to>
    <xdr:pic>
      <xdr:nvPicPr>
        <xdr:cNvPr id="14" name="2183 Imagen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0" y="206597250"/>
          <a:ext cx="779318" cy="77647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377</xdr:row>
      <xdr:rowOff>0</xdr:rowOff>
    </xdr:from>
    <xdr:to>
      <xdr:col>9</xdr:col>
      <xdr:colOff>721591</xdr:colOff>
      <xdr:row>385</xdr:row>
      <xdr:rowOff>71049</xdr:rowOff>
    </xdr:to>
    <xdr:pic>
      <xdr:nvPicPr>
        <xdr:cNvPr id="15" name="2225 Imagen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33725" y="206597250"/>
          <a:ext cx="721591" cy="718748"/>
        </a:xfrm>
        <a:prstGeom prst="rect">
          <a:avLst/>
        </a:prstGeom>
      </xdr:spPr>
    </xdr:pic>
    <xdr:clientData/>
  </xdr:twoCellAnchor>
  <xdr:twoCellAnchor editAs="oneCell">
    <xdr:from>
      <xdr:col>3</xdr:col>
      <xdr:colOff>54517</xdr:colOff>
      <xdr:row>0</xdr:row>
      <xdr:rowOff>120067</xdr:rowOff>
    </xdr:from>
    <xdr:to>
      <xdr:col>3</xdr:col>
      <xdr:colOff>1831730</xdr:colOff>
      <xdr:row>7</xdr:row>
      <xdr:rowOff>69497</xdr:rowOff>
    </xdr:to>
    <xdr:pic>
      <xdr:nvPicPr>
        <xdr:cNvPr id="16" name="Imagen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8632" y="120067"/>
          <a:ext cx="1777213" cy="1077776"/>
        </a:xfrm>
        <a:prstGeom prst="rect">
          <a:avLst/>
        </a:prstGeom>
      </xdr:spPr>
    </xdr:pic>
    <xdr:clientData/>
  </xdr:twoCellAnchor>
  <xdr:twoCellAnchor>
    <xdr:from>
      <xdr:col>5</xdr:col>
      <xdr:colOff>374365</xdr:colOff>
      <xdr:row>11</xdr:row>
      <xdr:rowOff>186915</xdr:rowOff>
    </xdr:from>
    <xdr:to>
      <xdr:col>7</xdr:col>
      <xdr:colOff>464440</xdr:colOff>
      <xdr:row>12</xdr:row>
      <xdr:rowOff>7681</xdr:rowOff>
    </xdr:to>
    <xdr:cxnSp macro="">
      <xdr:nvCxnSpPr>
        <xdr:cNvPr id="17" name="5 Conector recto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 rot="10800000" flipH="1">
          <a:off x="4657725" y="2082390"/>
          <a:ext cx="0" cy="2079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133</xdr:row>
      <xdr:rowOff>0</xdr:rowOff>
    </xdr:from>
    <xdr:to>
      <xdr:col>9</xdr:col>
      <xdr:colOff>27672</xdr:colOff>
      <xdr:row>133</xdr:row>
      <xdr:rowOff>8932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0150" y="126015750"/>
          <a:ext cx="27672" cy="893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133</xdr:row>
      <xdr:rowOff>0</xdr:rowOff>
    </xdr:from>
    <xdr:to>
      <xdr:col>9</xdr:col>
      <xdr:colOff>27672</xdr:colOff>
      <xdr:row>133</xdr:row>
      <xdr:rowOff>8932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0150" y="126015750"/>
          <a:ext cx="27672" cy="893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0</xdr:colOff>
      <xdr:row>178</xdr:row>
      <xdr:rowOff>9525</xdr:rowOff>
    </xdr:to>
    <xdr:pic>
      <xdr:nvPicPr>
        <xdr:cNvPr id="4" name="2152 Imagen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191900175"/>
          <a:ext cx="0" cy="95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178</xdr:row>
      <xdr:rowOff>0</xdr:rowOff>
    </xdr:from>
    <xdr:to>
      <xdr:col>2</xdr:col>
      <xdr:colOff>1180478</xdr:colOff>
      <xdr:row>181</xdr:row>
      <xdr:rowOff>439172</xdr:rowOff>
    </xdr:to>
    <xdr:pic>
      <xdr:nvPicPr>
        <xdr:cNvPr id="5" name="2153 Imagen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0" y="191900175"/>
          <a:ext cx="1180478" cy="117259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178</xdr:row>
      <xdr:rowOff>0</xdr:rowOff>
    </xdr:from>
    <xdr:to>
      <xdr:col>2</xdr:col>
      <xdr:colOff>1180478</xdr:colOff>
      <xdr:row>181</xdr:row>
      <xdr:rowOff>439171</xdr:rowOff>
    </xdr:to>
    <xdr:pic>
      <xdr:nvPicPr>
        <xdr:cNvPr id="6" name="2157 Imagen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0" y="191900175"/>
          <a:ext cx="1180478" cy="1172596"/>
        </a:xfrm>
        <a:prstGeom prst="rect">
          <a:avLst/>
        </a:prstGeom>
      </xdr:spPr>
    </xdr:pic>
    <xdr:clientData/>
  </xdr:twoCellAnchor>
  <xdr:twoCellAnchor editAs="oneCell">
    <xdr:from>
      <xdr:col>1</xdr:col>
      <xdr:colOff>230910</xdr:colOff>
      <xdr:row>178</xdr:row>
      <xdr:rowOff>0</xdr:rowOff>
    </xdr:from>
    <xdr:to>
      <xdr:col>2</xdr:col>
      <xdr:colOff>880341</xdr:colOff>
      <xdr:row>181</xdr:row>
      <xdr:rowOff>141875</xdr:rowOff>
    </xdr:to>
    <xdr:pic>
      <xdr:nvPicPr>
        <xdr:cNvPr id="7" name="2160 Imagen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0" y="191900175"/>
          <a:ext cx="880341" cy="8753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0</xdr:colOff>
      <xdr:row>178</xdr:row>
      <xdr:rowOff>9525</xdr:rowOff>
    </xdr:to>
    <xdr:pic>
      <xdr:nvPicPr>
        <xdr:cNvPr id="8" name="2229 Imagen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191900175"/>
          <a:ext cx="0" cy="95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0</xdr:colOff>
      <xdr:row>178</xdr:row>
      <xdr:rowOff>9525</xdr:rowOff>
    </xdr:to>
    <xdr:pic>
      <xdr:nvPicPr>
        <xdr:cNvPr id="9" name="2230 Imagen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191900175"/>
          <a:ext cx="0" cy="95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0</xdr:colOff>
      <xdr:row>178</xdr:row>
      <xdr:rowOff>9525</xdr:rowOff>
    </xdr:to>
    <xdr:pic>
      <xdr:nvPicPr>
        <xdr:cNvPr id="10" name="2231 Imagen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191900175"/>
          <a:ext cx="0" cy="95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0</xdr:colOff>
      <xdr:row>178</xdr:row>
      <xdr:rowOff>9525</xdr:rowOff>
    </xdr:to>
    <xdr:pic>
      <xdr:nvPicPr>
        <xdr:cNvPr id="11" name="2232 Imagen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191900175"/>
          <a:ext cx="0" cy="95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0</xdr:colOff>
      <xdr:row>178</xdr:row>
      <xdr:rowOff>9525</xdr:rowOff>
    </xdr:to>
    <xdr:pic>
      <xdr:nvPicPr>
        <xdr:cNvPr id="12" name="2233 Imagen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191900175"/>
          <a:ext cx="0" cy="9525"/>
        </a:xfrm>
        <a:prstGeom prst="rect">
          <a:avLst/>
        </a:prstGeom>
      </xdr:spPr>
    </xdr:pic>
    <xdr:clientData/>
  </xdr:twoCellAnchor>
  <xdr:twoCellAnchor editAs="oneCell">
    <xdr:from>
      <xdr:col>1</xdr:col>
      <xdr:colOff>303069</xdr:colOff>
      <xdr:row>186</xdr:row>
      <xdr:rowOff>0</xdr:rowOff>
    </xdr:from>
    <xdr:to>
      <xdr:col>2</xdr:col>
      <xdr:colOff>779318</xdr:colOff>
      <xdr:row>194</xdr:row>
      <xdr:rowOff>128775</xdr:rowOff>
    </xdr:to>
    <xdr:pic>
      <xdr:nvPicPr>
        <xdr:cNvPr id="13" name="2183 Imagen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0" y="203701650"/>
          <a:ext cx="779318" cy="7764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186</xdr:row>
      <xdr:rowOff>0</xdr:rowOff>
    </xdr:from>
    <xdr:to>
      <xdr:col>9</xdr:col>
      <xdr:colOff>721591</xdr:colOff>
      <xdr:row>194</xdr:row>
      <xdr:rowOff>71049</xdr:rowOff>
    </xdr:to>
    <xdr:pic>
      <xdr:nvPicPr>
        <xdr:cNvPr id="14" name="2225 Imagen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203701650"/>
          <a:ext cx="721591" cy="718749"/>
        </a:xfrm>
        <a:prstGeom prst="rect">
          <a:avLst/>
        </a:prstGeom>
      </xdr:spPr>
    </xdr:pic>
    <xdr:clientData/>
  </xdr:twoCellAnchor>
  <xdr:twoCellAnchor editAs="oneCell">
    <xdr:from>
      <xdr:col>3</xdr:col>
      <xdr:colOff>1007017</xdr:colOff>
      <xdr:row>0</xdr:row>
      <xdr:rowOff>134721</xdr:rowOff>
    </xdr:from>
    <xdr:to>
      <xdr:col>3</xdr:col>
      <xdr:colOff>2784230</xdr:colOff>
      <xdr:row>7</xdr:row>
      <xdr:rowOff>84151</xdr:rowOff>
    </xdr:to>
    <xdr:pic>
      <xdr:nvPicPr>
        <xdr:cNvPr id="15" name="Imagen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1132" y="134721"/>
          <a:ext cx="1777213" cy="1077776"/>
        </a:xfrm>
        <a:prstGeom prst="rect">
          <a:avLst/>
        </a:prstGeom>
      </xdr:spPr>
    </xdr:pic>
    <xdr:clientData/>
  </xdr:twoCellAnchor>
  <xdr:twoCellAnchor>
    <xdr:from>
      <xdr:col>5</xdr:col>
      <xdr:colOff>374365</xdr:colOff>
      <xdr:row>11</xdr:row>
      <xdr:rowOff>186915</xdr:rowOff>
    </xdr:from>
    <xdr:to>
      <xdr:col>7</xdr:col>
      <xdr:colOff>464440</xdr:colOff>
      <xdr:row>12</xdr:row>
      <xdr:rowOff>7681</xdr:rowOff>
    </xdr:to>
    <xdr:cxnSp macro="">
      <xdr:nvCxnSpPr>
        <xdr:cNvPr id="16" name="5 Conector recto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0800000" flipH="1">
          <a:off x="5010150" y="2082390"/>
          <a:ext cx="0" cy="2079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98</xdr:row>
      <xdr:rowOff>0</xdr:rowOff>
    </xdr:from>
    <xdr:to>
      <xdr:col>9</xdr:col>
      <xdr:colOff>27672</xdr:colOff>
      <xdr:row>98</xdr:row>
      <xdr:rowOff>8932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0150" y="58874025"/>
          <a:ext cx="27672" cy="893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98</xdr:row>
      <xdr:rowOff>0</xdr:rowOff>
    </xdr:from>
    <xdr:to>
      <xdr:col>9</xdr:col>
      <xdr:colOff>27672</xdr:colOff>
      <xdr:row>98</xdr:row>
      <xdr:rowOff>8932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0150" y="58874025"/>
          <a:ext cx="27672" cy="893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0</xdr:colOff>
      <xdr:row>127</xdr:row>
      <xdr:rowOff>9525</xdr:rowOff>
    </xdr:to>
    <xdr:pic>
      <xdr:nvPicPr>
        <xdr:cNvPr id="4" name="2152 Imagen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80810100"/>
          <a:ext cx="0" cy="95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1180478</xdr:colOff>
      <xdr:row>130</xdr:row>
      <xdr:rowOff>439171</xdr:rowOff>
    </xdr:to>
    <xdr:pic>
      <xdr:nvPicPr>
        <xdr:cNvPr id="5" name="2153 Imagen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0" y="80810100"/>
          <a:ext cx="1180478" cy="117259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1180478</xdr:colOff>
      <xdr:row>130</xdr:row>
      <xdr:rowOff>439170</xdr:rowOff>
    </xdr:to>
    <xdr:pic>
      <xdr:nvPicPr>
        <xdr:cNvPr id="6" name="2157 Imagen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0" y="80810100"/>
          <a:ext cx="1180478" cy="1172596"/>
        </a:xfrm>
        <a:prstGeom prst="rect">
          <a:avLst/>
        </a:prstGeom>
      </xdr:spPr>
    </xdr:pic>
    <xdr:clientData/>
  </xdr:twoCellAnchor>
  <xdr:twoCellAnchor editAs="oneCell">
    <xdr:from>
      <xdr:col>1</xdr:col>
      <xdr:colOff>230910</xdr:colOff>
      <xdr:row>127</xdr:row>
      <xdr:rowOff>0</xdr:rowOff>
    </xdr:from>
    <xdr:to>
      <xdr:col>2</xdr:col>
      <xdr:colOff>880341</xdr:colOff>
      <xdr:row>130</xdr:row>
      <xdr:rowOff>141874</xdr:rowOff>
    </xdr:to>
    <xdr:pic>
      <xdr:nvPicPr>
        <xdr:cNvPr id="7" name="2160 Imagen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0" y="80810100"/>
          <a:ext cx="880341" cy="8753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0</xdr:colOff>
      <xdr:row>127</xdr:row>
      <xdr:rowOff>9525</xdr:rowOff>
    </xdr:to>
    <xdr:pic>
      <xdr:nvPicPr>
        <xdr:cNvPr id="8" name="2229 Imagen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80810100"/>
          <a:ext cx="0" cy="95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0</xdr:colOff>
      <xdr:row>127</xdr:row>
      <xdr:rowOff>9525</xdr:rowOff>
    </xdr:to>
    <xdr:pic>
      <xdr:nvPicPr>
        <xdr:cNvPr id="9" name="2230 Imagen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80810100"/>
          <a:ext cx="0" cy="95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0</xdr:colOff>
      <xdr:row>127</xdr:row>
      <xdr:rowOff>9525</xdr:rowOff>
    </xdr:to>
    <xdr:pic>
      <xdr:nvPicPr>
        <xdr:cNvPr id="10" name="2231 Imagen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80810100"/>
          <a:ext cx="0" cy="95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0</xdr:colOff>
      <xdr:row>127</xdr:row>
      <xdr:rowOff>9525</xdr:rowOff>
    </xdr:to>
    <xdr:pic>
      <xdr:nvPicPr>
        <xdr:cNvPr id="11" name="2232 Imagen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80810100"/>
          <a:ext cx="0" cy="95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0</xdr:colOff>
      <xdr:row>127</xdr:row>
      <xdr:rowOff>9525</xdr:rowOff>
    </xdr:to>
    <xdr:pic>
      <xdr:nvPicPr>
        <xdr:cNvPr id="12" name="2233 Imagen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80810100"/>
          <a:ext cx="0" cy="9525"/>
        </a:xfrm>
        <a:prstGeom prst="rect">
          <a:avLst/>
        </a:prstGeom>
      </xdr:spPr>
    </xdr:pic>
    <xdr:clientData/>
  </xdr:twoCellAnchor>
  <xdr:twoCellAnchor editAs="oneCell">
    <xdr:from>
      <xdr:col>1</xdr:col>
      <xdr:colOff>303069</xdr:colOff>
      <xdr:row>137</xdr:row>
      <xdr:rowOff>0</xdr:rowOff>
    </xdr:from>
    <xdr:to>
      <xdr:col>2</xdr:col>
      <xdr:colOff>779318</xdr:colOff>
      <xdr:row>145</xdr:row>
      <xdr:rowOff>128775</xdr:rowOff>
    </xdr:to>
    <xdr:pic>
      <xdr:nvPicPr>
        <xdr:cNvPr id="13" name="2183 Imagen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0" y="84067650"/>
          <a:ext cx="779318" cy="7764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137</xdr:row>
      <xdr:rowOff>0</xdr:rowOff>
    </xdr:from>
    <xdr:to>
      <xdr:col>9</xdr:col>
      <xdr:colOff>721591</xdr:colOff>
      <xdr:row>145</xdr:row>
      <xdr:rowOff>71049</xdr:rowOff>
    </xdr:to>
    <xdr:pic>
      <xdr:nvPicPr>
        <xdr:cNvPr id="14" name="2225 Imagen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84067650"/>
          <a:ext cx="721591" cy="718749"/>
        </a:xfrm>
        <a:prstGeom prst="rect">
          <a:avLst/>
        </a:prstGeom>
      </xdr:spPr>
    </xdr:pic>
    <xdr:clientData/>
  </xdr:twoCellAnchor>
  <xdr:twoCellAnchor editAs="oneCell">
    <xdr:from>
      <xdr:col>3</xdr:col>
      <xdr:colOff>1007017</xdr:colOff>
      <xdr:row>0</xdr:row>
      <xdr:rowOff>134721</xdr:rowOff>
    </xdr:from>
    <xdr:to>
      <xdr:col>3</xdr:col>
      <xdr:colOff>2784230</xdr:colOff>
      <xdr:row>7</xdr:row>
      <xdr:rowOff>84151</xdr:rowOff>
    </xdr:to>
    <xdr:pic>
      <xdr:nvPicPr>
        <xdr:cNvPr id="15" name="Imagen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9667" y="134721"/>
          <a:ext cx="1777213" cy="1082905"/>
        </a:xfrm>
        <a:prstGeom prst="rect">
          <a:avLst/>
        </a:prstGeom>
      </xdr:spPr>
    </xdr:pic>
    <xdr:clientData/>
  </xdr:twoCellAnchor>
  <xdr:twoCellAnchor>
    <xdr:from>
      <xdr:col>5</xdr:col>
      <xdr:colOff>374365</xdr:colOff>
      <xdr:row>11</xdr:row>
      <xdr:rowOff>186915</xdr:rowOff>
    </xdr:from>
    <xdr:to>
      <xdr:col>7</xdr:col>
      <xdr:colOff>464440</xdr:colOff>
      <xdr:row>12</xdr:row>
      <xdr:rowOff>7681</xdr:rowOff>
    </xdr:to>
    <xdr:cxnSp macro="">
      <xdr:nvCxnSpPr>
        <xdr:cNvPr id="16" name="5 Conector recto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0800000" flipH="1">
          <a:off x="5010150" y="2082390"/>
          <a:ext cx="0" cy="2079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163</xdr:row>
      <xdr:rowOff>0</xdr:rowOff>
    </xdr:from>
    <xdr:to>
      <xdr:col>9</xdr:col>
      <xdr:colOff>27672</xdr:colOff>
      <xdr:row>163</xdr:row>
      <xdr:rowOff>8932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C72CB9-A4B6-4091-983E-73EDB4E19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0150" y="30099000"/>
          <a:ext cx="27672" cy="893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163</xdr:row>
      <xdr:rowOff>0</xdr:rowOff>
    </xdr:from>
    <xdr:to>
      <xdr:col>9</xdr:col>
      <xdr:colOff>27672</xdr:colOff>
      <xdr:row>163</xdr:row>
      <xdr:rowOff>8932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0130E96-2955-4CA8-B74E-A31DEB906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0150" y="30099000"/>
          <a:ext cx="27672" cy="893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0</xdr:colOff>
      <xdr:row>228</xdr:row>
      <xdr:rowOff>9525</xdr:rowOff>
    </xdr:to>
    <xdr:pic>
      <xdr:nvPicPr>
        <xdr:cNvPr id="4" name="2152 Imagen">
          <a:extLst>
            <a:ext uri="{FF2B5EF4-FFF2-40B4-BE49-F238E27FC236}">
              <a16:creationId xmlns:a16="http://schemas.microsoft.com/office/drawing/2014/main" id="{76A304DF-E896-4E64-BCDF-16E491A25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42443400"/>
          <a:ext cx="0" cy="95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228</xdr:row>
      <xdr:rowOff>0</xdr:rowOff>
    </xdr:from>
    <xdr:to>
      <xdr:col>2</xdr:col>
      <xdr:colOff>1180478</xdr:colOff>
      <xdr:row>230</xdr:row>
      <xdr:rowOff>438439</xdr:rowOff>
    </xdr:to>
    <xdr:pic>
      <xdr:nvPicPr>
        <xdr:cNvPr id="5" name="2153 Imagen">
          <a:extLst>
            <a:ext uri="{FF2B5EF4-FFF2-40B4-BE49-F238E27FC236}">
              <a16:creationId xmlns:a16="http://schemas.microsoft.com/office/drawing/2014/main" id="{699A613F-CB1D-4E94-B1B6-EEFB22C05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0" y="42443400"/>
          <a:ext cx="1180478" cy="11725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228</xdr:row>
      <xdr:rowOff>0</xdr:rowOff>
    </xdr:from>
    <xdr:to>
      <xdr:col>2</xdr:col>
      <xdr:colOff>1180478</xdr:colOff>
      <xdr:row>230</xdr:row>
      <xdr:rowOff>438438</xdr:rowOff>
    </xdr:to>
    <xdr:pic>
      <xdr:nvPicPr>
        <xdr:cNvPr id="6" name="2157 Imagen">
          <a:extLst>
            <a:ext uri="{FF2B5EF4-FFF2-40B4-BE49-F238E27FC236}">
              <a16:creationId xmlns:a16="http://schemas.microsoft.com/office/drawing/2014/main" id="{1DFAE69E-0FFB-4335-9AC5-677D74CAC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0" y="42443400"/>
          <a:ext cx="1180478" cy="1172595"/>
        </a:xfrm>
        <a:prstGeom prst="rect">
          <a:avLst/>
        </a:prstGeom>
      </xdr:spPr>
    </xdr:pic>
    <xdr:clientData/>
  </xdr:twoCellAnchor>
  <xdr:twoCellAnchor editAs="oneCell">
    <xdr:from>
      <xdr:col>1</xdr:col>
      <xdr:colOff>230910</xdr:colOff>
      <xdr:row>228</xdr:row>
      <xdr:rowOff>0</xdr:rowOff>
    </xdr:from>
    <xdr:to>
      <xdr:col>2</xdr:col>
      <xdr:colOff>880341</xdr:colOff>
      <xdr:row>230</xdr:row>
      <xdr:rowOff>436417</xdr:rowOff>
    </xdr:to>
    <xdr:pic>
      <xdr:nvPicPr>
        <xdr:cNvPr id="7" name="2160 Imagen">
          <a:extLst>
            <a:ext uri="{FF2B5EF4-FFF2-40B4-BE49-F238E27FC236}">
              <a16:creationId xmlns:a16="http://schemas.microsoft.com/office/drawing/2014/main" id="{53849786-7EB4-40E0-9B10-23F135909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0" y="42443400"/>
          <a:ext cx="880341" cy="875299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0</xdr:colOff>
      <xdr:row>228</xdr:row>
      <xdr:rowOff>9525</xdr:rowOff>
    </xdr:to>
    <xdr:pic>
      <xdr:nvPicPr>
        <xdr:cNvPr id="8" name="2229 Imagen">
          <a:extLst>
            <a:ext uri="{FF2B5EF4-FFF2-40B4-BE49-F238E27FC236}">
              <a16:creationId xmlns:a16="http://schemas.microsoft.com/office/drawing/2014/main" id="{62B21584-34D2-4561-BC48-37AC922C3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42443400"/>
          <a:ext cx="0" cy="95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0</xdr:colOff>
      <xdr:row>228</xdr:row>
      <xdr:rowOff>9525</xdr:rowOff>
    </xdr:to>
    <xdr:pic>
      <xdr:nvPicPr>
        <xdr:cNvPr id="9" name="2230 Imagen">
          <a:extLst>
            <a:ext uri="{FF2B5EF4-FFF2-40B4-BE49-F238E27FC236}">
              <a16:creationId xmlns:a16="http://schemas.microsoft.com/office/drawing/2014/main" id="{12DDDFCC-298B-4DE7-BB8A-0A92CA374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42443400"/>
          <a:ext cx="0" cy="95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0</xdr:colOff>
      <xdr:row>228</xdr:row>
      <xdr:rowOff>9525</xdr:rowOff>
    </xdr:to>
    <xdr:pic>
      <xdr:nvPicPr>
        <xdr:cNvPr id="10" name="2231 Imagen">
          <a:extLst>
            <a:ext uri="{FF2B5EF4-FFF2-40B4-BE49-F238E27FC236}">
              <a16:creationId xmlns:a16="http://schemas.microsoft.com/office/drawing/2014/main" id="{3FC61E30-4466-446B-A261-0E3BF4AA8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42443400"/>
          <a:ext cx="0" cy="95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0</xdr:colOff>
      <xdr:row>228</xdr:row>
      <xdr:rowOff>9525</xdr:rowOff>
    </xdr:to>
    <xdr:pic>
      <xdr:nvPicPr>
        <xdr:cNvPr id="11" name="2232 Imagen">
          <a:extLst>
            <a:ext uri="{FF2B5EF4-FFF2-40B4-BE49-F238E27FC236}">
              <a16:creationId xmlns:a16="http://schemas.microsoft.com/office/drawing/2014/main" id="{E1E41DB6-CC20-4C7C-B790-7B0E8F946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42443400"/>
          <a:ext cx="0" cy="95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0</xdr:colOff>
      <xdr:row>228</xdr:row>
      <xdr:rowOff>9525</xdr:rowOff>
    </xdr:to>
    <xdr:pic>
      <xdr:nvPicPr>
        <xdr:cNvPr id="12" name="2233 Imagen">
          <a:extLst>
            <a:ext uri="{FF2B5EF4-FFF2-40B4-BE49-F238E27FC236}">
              <a16:creationId xmlns:a16="http://schemas.microsoft.com/office/drawing/2014/main" id="{B78121AD-DB27-4FD9-B12E-3EC30F11E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42443400"/>
          <a:ext cx="0" cy="9525"/>
        </a:xfrm>
        <a:prstGeom prst="rect">
          <a:avLst/>
        </a:prstGeom>
      </xdr:spPr>
    </xdr:pic>
    <xdr:clientData/>
  </xdr:twoCellAnchor>
  <xdr:twoCellAnchor editAs="oneCell">
    <xdr:from>
      <xdr:col>1</xdr:col>
      <xdr:colOff>303069</xdr:colOff>
      <xdr:row>239</xdr:row>
      <xdr:rowOff>0</xdr:rowOff>
    </xdr:from>
    <xdr:to>
      <xdr:col>2</xdr:col>
      <xdr:colOff>779318</xdr:colOff>
      <xdr:row>246</xdr:row>
      <xdr:rowOff>146538</xdr:rowOff>
    </xdr:to>
    <xdr:pic>
      <xdr:nvPicPr>
        <xdr:cNvPr id="13" name="2183 Imagen">
          <a:extLst>
            <a:ext uri="{FF2B5EF4-FFF2-40B4-BE49-F238E27FC236}">
              <a16:creationId xmlns:a16="http://schemas.microsoft.com/office/drawing/2014/main" id="{E5792CA5-C5FA-4DB0-8891-C733C55B1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0" y="47215425"/>
          <a:ext cx="779318" cy="7764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239</xdr:row>
      <xdr:rowOff>0</xdr:rowOff>
    </xdr:from>
    <xdr:to>
      <xdr:col>9</xdr:col>
      <xdr:colOff>721591</xdr:colOff>
      <xdr:row>246</xdr:row>
      <xdr:rowOff>146538</xdr:rowOff>
    </xdr:to>
    <xdr:pic>
      <xdr:nvPicPr>
        <xdr:cNvPr id="14" name="2225 Imagen">
          <a:extLst>
            <a:ext uri="{FF2B5EF4-FFF2-40B4-BE49-F238E27FC236}">
              <a16:creationId xmlns:a16="http://schemas.microsoft.com/office/drawing/2014/main" id="{FC2E1AC4-39A3-447A-BFAD-397F1C0DE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47215425"/>
          <a:ext cx="721591" cy="718749"/>
        </a:xfrm>
        <a:prstGeom prst="rect">
          <a:avLst/>
        </a:prstGeom>
      </xdr:spPr>
    </xdr:pic>
    <xdr:clientData/>
  </xdr:twoCellAnchor>
  <xdr:twoCellAnchor editAs="oneCell">
    <xdr:from>
      <xdr:col>3</xdr:col>
      <xdr:colOff>1007017</xdr:colOff>
      <xdr:row>0</xdr:row>
      <xdr:rowOff>134721</xdr:rowOff>
    </xdr:from>
    <xdr:to>
      <xdr:col>3</xdr:col>
      <xdr:colOff>2784230</xdr:colOff>
      <xdr:row>7</xdr:row>
      <xdr:rowOff>84151</xdr:rowOff>
    </xdr:to>
    <xdr:pic>
      <xdr:nvPicPr>
        <xdr:cNvPr id="15" name="Imagen 1">
          <a:extLst>
            <a:ext uri="{FF2B5EF4-FFF2-40B4-BE49-F238E27FC236}">
              <a16:creationId xmlns:a16="http://schemas.microsoft.com/office/drawing/2014/main" id="{9BC3A920-0293-4082-9161-A2759BB19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9667" y="134721"/>
          <a:ext cx="1777213" cy="1082905"/>
        </a:xfrm>
        <a:prstGeom prst="rect">
          <a:avLst/>
        </a:prstGeom>
      </xdr:spPr>
    </xdr:pic>
    <xdr:clientData/>
  </xdr:twoCellAnchor>
  <xdr:twoCellAnchor>
    <xdr:from>
      <xdr:col>5</xdr:col>
      <xdr:colOff>374365</xdr:colOff>
      <xdr:row>11</xdr:row>
      <xdr:rowOff>186915</xdr:rowOff>
    </xdr:from>
    <xdr:to>
      <xdr:col>7</xdr:col>
      <xdr:colOff>464440</xdr:colOff>
      <xdr:row>12</xdr:row>
      <xdr:rowOff>7681</xdr:rowOff>
    </xdr:to>
    <xdr:cxnSp macro="">
      <xdr:nvCxnSpPr>
        <xdr:cNvPr id="16" name="5 Conector recto">
          <a:extLst>
            <a:ext uri="{FF2B5EF4-FFF2-40B4-BE49-F238E27FC236}">
              <a16:creationId xmlns:a16="http://schemas.microsoft.com/office/drawing/2014/main" id="{F7B3B5FA-0EAA-4637-8857-A6A7E918BB17}"/>
            </a:ext>
          </a:extLst>
        </xdr:cNvPr>
        <xdr:cNvCxnSpPr/>
      </xdr:nvCxnSpPr>
      <xdr:spPr>
        <a:xfrm rot="10800000" flipH="1">
          <a:off x="5010150" y="2082390"/>
          <a:ext cx="0" cy="2079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esktop\Users\retiro04\Desktop\CONTROL%20DE%20EXPEDIENTES%20VIUDAS-ACTUALIZADO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 PROCESO"/>
      <sheetName val="SEPTIEMBRE"/>
      <sheetName val="TOTALES EN PROCESO"/>
      <sheetName val="GENERAL PLENO"/>
      <sheetName val="ESTADISTICA GENERAL"/>
      <sheetName val="PARA NOMINA"/>
      <sheetName val="GENERAL DIARIO"/>
      <sheetName val="ABRIL 2021"/>
      <sheetName val="GENERAL ABRIL 2021"/>
      <sheetName val="Hoja3"/>
      <sheetName val="MAYO 2021"/>
      <sheetName val="GENERAL MAYO 2021"/>
      <sheetName val="ENVIADOS A NÓMINA"/>
      <sheetName val="ENERO 2021"/>
      <sheetName val="FEBRERO 2021"/>
      <sheetName val="GENERAL ENERO 2021"/>
      <sheetName val="DICIEMBRE 2020"/>
      <sheetName val="general DICIEMBRE"/>
      <sheetName val="MARZO 2021"/>
      <sheetName val="GENERAL FEBRERO 2021"/>
      <sheetName val="noviermbre 2020"/>
      <sheetName val="general NOVIEMBRE"/>
      <sheetName val="SEPTIEMBRE 2020"/>
      <sheetName val="NOVIEMBRE 2020"/>
      <sheetName val="PLENO JULIO0"/>
      <sheetName val="AUMENTO JULIO"/>
      <sheetName val="julio 2"/>
      <sheetName val="INVESTIGACION "/>
      <sheetName val="Hoja2"/>
      <sheetName val="PLENO (2)"/>
      <sheetName val="AUMENTO JUNIO"/>
    </sheetNames>
    <sheetDataSet>
      <sheetData sheetId="0" refreshError="1">
        <row r="54">
          <cell r="G54">
            <v>48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121"/>
  <sheetViews>
    <sheetView view="pageBreakPreview" zoomScale="65" zoomScaleNormal="60" zoomScaleSheetLayoutView="65" zoomScalePageLayoutView="60" workbookViewId="0">
      <selection activeCell="AM121" sqref="A1:AM121"/>
    </sheetView>
  </sheetViews>
  <sheetFormatPr baseColWidth="10" defaultRowHeight="15" x14ac:dyDescent="0.25"/>
  <cols>
    <col min="1" max="1" width="4.5703125" bestFit="1" customWidth="1"/>
    <col min="2" max="2" width="19.5703125" hidden="1" customWidth="1"/>
    <col min="3" max="4" width="30.7109375" customWidth="1"/>
    <col min="5" max="5" width="19.140625" hidden="1" customWidth="1"/>
    <col min="6" max="6" width="25.5703125" hidden="1" customWidth="1"/>
    <col min="7" max="7" width="10.7109375" hidden="1" customWidth="1"/>
    <col min="8" max="9" width="16.7109375" hidden="1" customWidth="1"/>
    <col min="10" max="11" width="15.7109375" customWidth="1"/>
    <col min="12" max="12" width="20.42578125" hidden="1" customWidth="1"/>
    <col min="13" max="13" width="21.140625" hidden="1" customWidth="1"/>
    <col min="14" max="14" width="25" hidden="1" customWidth="1"/>
    <col min="15" max="15" width="27.7109375" hidden="1" customWidth="1"/>
    <col min="16" max="16" width="18.140625" hidden="1" customWidth="1"/>
    <col min="17" max="18" width="14.42578125" hidden="1" customWidth="1"/>
    <col min="19" max="19" width="18.7109375" hidden="1" customWidth="1"/>
    <col min="20" max="20" width="21.5703125" hidden="1" customWidth="1"/>
    <col min="21" max="21" width="13" hidden="1" customWidth="1"/>
    <col min="22" max="22" width="14.42578125" hidden="1" customWidth="1"/>
    <col min="23" max="23" width="11.42578125" hidden="1" customWidth="1"/>
    <col min="24" max="24" width="14" hidden="1" customWidth="1"/>
    <col min="25" max="25" width="14.42578125" hidden="1" customWidth="1"/>
    <col min="26" max="26" width="10.28515625" hidden="1" customWidth="1"/>
    <col min="27" max="27" width="4.28515625" hidden="1" customWidth="1"/>
    <col min="28" max="28" width="19.28515625" hidden="1" customWidth="1"/>
    <col min="29" max="29" width="22.42578125" hidden="1" customWidth="1"/>
    <col min="30" max="30" width="26.7109375" hidden="1" customWidth="1"/>
    <col min="31" max="31" width="18.42578125" hidden="1" customWidth="1"/>
    <col min="32" max="32" width="16" hidden="1" customWidth="1"/>
    <col min="33" max="33" width="11.42578125" hidden="1" customWidth="1"/>
    <col min="34" max="34" width="19.7109375" hidden="1" customWidth="1"/>
    <col min="35" max="36" width="11.42578125" hidden="1" customWidth="1"/>
    <col min="37" max="37" width="11.5703125" hidden="1" customWidth="1"/>
    <col min="38" max="38" width="11.42578125" hidden="1" customWidth="1"/>
    <col min="39" max="39" width="30.7109375" customWidth="1"/>
    <col min="40" max="43" width="11.42578125" customWidth="1"/>
    <col min="44" max="44" width="20.7109375" customWidth="1"/>
  </cols>
  <sheetData>
    <row r="1" spans="1:44" s="1" customFormat="1" ht="12.75" x14ac:dyDescent="0.2"/>
    <row r="2" spans="1:44" s="1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S2" s="3">
        <f>COUNTIF(AC18:AC57,"E")</f>
        <v>38</v>
      </c>
      <c r="T2" s="3">
        <f>COUNTIF(AD18:AD57,"R")</f>
        <v>37</v>
      </c>
      <c r="V2" s="3">
        <f>COUNTIF(AB18:AB57,"PEREZ")</f>
        <v>10</v>
      </c>
      <c r="W2" s="3">
        <f>COUNTIF(AB18:AB57,"PADUA")</f>
        <v>24</v>
      </c>
      <c r="AR2" s="2"/>
    </row>
    <row r="3" spans="1:44" s="1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AR3" s="2"/>
    </row>
    <row r="4" spans="1:44" s="1" customFormat="1" ht="12.75" x14ac:dyDescent="0.2"/>
    <row r="5" spans="1:44" s="1" customFormat="1" ht="12.75" x14ac:dyDescent="0.2"/>
    <row r="6" spans="1:44" s="1" customFormat="1" ht="12.75" x14ac:dyDescent="0.2"/>
    <row r="7" spans="1:44" s="1" customFormat="1" ht="12.75" x14ac:dyDescent="0.2"/>
    <row r="8" spans="1:44" s="1" customFormat="1" ht="12.75" x14ac:dyDescent="0.2"/>
    <row r="9" spans="1:44" s="1" customFormat="1" ht="12.75" x14ac:dyDescent="0.2"/>
    <row r="10" spans="1:44" s="1" customFormat="1" ht="12.75" x14ac:dyDescent="0.2"/>
    <row r="11" spans="1:44" s="1" customFormat="1" ht="12.75" x14ac:dyDescent="0.2"/>
    <row r="12" spans="1:44" s="1" customFormat="1" ht="12.75" x14ac:dyDescent="0.2"/>
    <row r="13" spans="1:44" s="1" customFormat="1" ht="12.75" x14ac:dyDescent="0.2"/>
    <row r="14" spans="1:44" s="1" customFormat="1" ht="12.75" x14ac:dyDescent="0.2"/>
    <row r="15" spans="1:44" s="1" customFormat="1" ht="13.5" thickBo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AR15" s="4"/>
    </row>
    <row r="16" spans="1:44" s="5" customFormat="1" ht="83.25" customHeight="1" thickBot="1" x14ac:dyDescent="0.25">
      <c r="A16" s="169" t="s">
        <v>0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1"/>
    </row>
    <row r="17" spans="1:43" s="1" customFormat="1" ht="12.75" x14ac:dyDescent="0.2"/>
    <row r="18" spans="1:43" s="1" customFormat="1" ht="12.75" x14ac:dyDescent="0.2">
      <c r="A18" s="168" t="s">
        <v>1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 t="s">
        <v>2</v>
      </c>
      <c r="AG18" s="168"/>
      <c r="AH18" s="168"/>
      <c r="AI18" s="168"/>
      <c r="AJ18" s="168" t="s">
        <v>3</v>
      </c>
      <c r="AK18" s="168"/>
      <c r="AL18" s="168"/>
      <c r="AM18" s="168"/>
      <c r="AN18" s="6"/>
      <c r="AO18" s="6"/>
      <c r="AP18" s="6"/>
      <c r="AQ18" s="6"/>
    </row>
    <row r="19" spans="1:43" s="19" customFormat="1" ht="25.5" x14ac:dyDescent="0.2">
      <c r="A19" s="8" t="s">
        <v>4</v>
      </c>
      <c r="B19" s="8" t="s">
        <v>5</v>
      </c>
      <c r="C19" s="9" t="s">
        <v>6</v>
      </c>
      <c r="D19" s="9" t="s">
        <v>7</v>
      </c>
      <c r="E19" s="166" t="s">
        <v>8</v>
      </c>
      <c r="F19" s="167" t="s">
        <v>9</v>
      </c>
      <c r="G19" s="10" t="s">
        <v>10</v>
      </c>
      <c r="H19" s="9" t="s">
        <v>11</v>
      </c>
      <c r="I19" s="11" t="s">
        <v>12</v>
      </c>
      <c r="J19" s="166" t="s">
        <v>13</v>
      </c>
      <c r="K19" s="167"/>
      <c r="L19" s="12" t="s">
        <v>14</v>
      </c>
      <c r="M19" s="13" t="s">
        <v>15</v>
      </c>
      <c r="N19" s="13" t="s">
        <v>16</v>
      </c>
      <c r="O19" s="13" t="s">
        <v>17</v>
      </c>
      <c r="P19" s="13" t="s">
        <v>18</v>
      </c>
      <c r="Q19" s="14" t="s">
        <v>19</v>
      </c>
      <c r="R19" s="14" t="s">
        <v>20</v>
      </c>
      <c r="S19" s="15" t="s">
        <v>21</v>
      </c>
      <c r="T19" s="9" t="s">
        <v>13</v>
      </c>
      <c r="U19" s="14" t="s">
        <v>19</v>
      </c>
      <c r="V19" s="14" t="s">
        <v>20</v>
      </c>
      <c r="W19" s="14" t="s">
        <v>19</v>
      </c>
      <c r="X19" s="14" t="s">
        <v>20</v>
      </c>
      <c r="Y19" s="1"/>
      <c r="Z19" s="1"/>
      <c r="AA19" s="16"/>
      <c r="AB19" s="17" t="s">
        <v>22</v>
      </c>
      <c r="AC19" s="17" t="s">
        <v>23</v>
      </c>
      <c r="AD19" s="17" t="s">
        <v>24</v>
      </c>
      <c r="AE19" s="7"/>
      <c r="AF19" s="18" t="s">
        <v>25</v>
      </c>
      <c r="AG19" s="18" t="s">
        <v>26</v>
      </c>
      <c r="AH19" s="18" t="s">
        <v>27</v>
      </c>
      <c r="AI19" s="7"/>
      <c r="AJ19" s="18" t="s">
        <v>25</v>
      </c>
      <c r="AK19" s="18" t="s">
        <v>26</v>
      </c>
      <c r="AL19" s="18" t="s">
        <v>28</v>
      </c>
      <c r="AM19" s="9" t="s">
        <v>335</v>
      </c>
    </row>
    <row r="20" spans="1:43" s="7" customFormat="1" ht="45" customHeight="1" x14ac:dyDescent="0.2">
      <c r="A20" s="20">
        <v>1</v>
      </c>
      <c r="B20" s="20"/>
      <c r="C20" s="21" t="s">
        <v>29</v>
      </c>
      <c r="D20" s="22" t="s">
        <v>30</v>
      </c>
      <c r="E20" s="23" t="s">
        <v>31</v>
      </c>
      <c r="F20" s="20" t="str">
        <f>DATEDIF(Q20,R20,"y") + DATEDIF(U20,V20,"y") + DATEDIF(W20,X20,"y") + SUM(AF20) &amp; " años " &amp; DATEDIF(Q20,R20,"ym") + DATEDIF(U20,V20,"ym") + DATEDIF(W20,X20,"ym") + SUM(AG20) - SUM(AK20) &amp; " meses " &amp; DATEDIF(Q20,R20,"md") + DATEDIF(U20,V20,"md") + DATEDIF(W20,X20,"md") - SUM(AL20) &amp; " días"</f>
        <v>37 años 9 meses 2 días</v>
      </c>
      <c r="G20" s="24">
        <v>1</v>
      </c>
      <c r="H20" s="20" t="str">
        <f>DATEDIF(S20,R20,"y") &amp; " años " &amp; DATEDIF(S20,R20,"ym") &amp; " meses " &amp; DATEDIF(S20,R20,"md") &amp; " días"</f>
        <v>55 años 4 meses 18 días</v>
      </c>
      <c r="I20" s="20" t="str">
        <f>DATEDIF(T20,R20,"y") &amp; " años " &amp; DATEDIF(T20,R20,"ym") &amp; " meses " &amp; DATEDIF(T20,R20,"md") &amp; " días"</f>
        <v>4 años 10 meses 2 días</v>
      </c>
      <c r="J20" s="172"/>
      <c r="K20" s="173"/>
      <c r="L20" s="26">
        <v>38187.53</v>
      </c>
      <c r="M20" s="26">
        <f>L20*G20</f>
        <v>38187.53</v>
      </c>
      <c r="N20" s="27" t="s">
        <v>32</v>
      </c>
      <c r="O20" s="27" t="s">
        <v>33</v>
      </c>
      <c r="P20" s="26" t="s">
        <v>34</v>
      </c>
      <c r="Q20" s="28">
        <v>31503</v>
      </c>
      <c r="R20" s="28">
        <v>45294</v>
      </c>
      <c r="S20" s="28">
        <v>25066</v>
      </c>
      <c r="T20" s="28">
        <v>43525</v>
      </c>
      <c r="U20" s="28"/>
      <c r="V20" s="28"/>
      <c r="W20" s="28"/>
      <c r="X20" s="28"/>
      <c r="Y20" s="1"/>
      <c r="Z20" s="1"/>
      <c r="AA20" s="29"/>
      <c r="AB20" s="30" t="s">
        <v>35</v>
      </c>
      <c r="AC20" s="31" t="s">
        <v>36</v>
      </c>
      <c r="AD20" s="32" t="s">
        <v>37</v>
      </c>
      <c r="AF20" s="30"/>
      <c r="AG20" s="30"/>
      <c r="AH20" s="30"/>
      <c r="AJ20" s="30"/>
      <c r="AK20" s="30"/>
      <c r="AL20" s="30"/>
      <c r="AM20" s="20" t="s">
        <v>337</v>
      </c>
    </row>
    <row r="21" spans="1:43" s="7" customFormat="1" ht="45" customHeight="1" x14ac:dyDescent="0.2">
      <c r="A21" s="20">
        <v>2</v>
      </c>
      <c r="B21" s="20" t="s">
        <v>38</v>
      </c>
      <c r="C21" s="21" t="s">
        <v>39</v>
      </c>
      <c r="D21" s="22" t="s">
        <v>40</v>
      </c>
      <c r="E21" s="23" t="s">
        <v>41</v>
      </c>
      <c r="F21" s="20" t="str">
        <f t="shared" ref="F21" si="0">DATEDIF(Q21,R21,"y") + DATEDIF(U21,V21,"y") + DATEDIF(W21,X21,"y") + SUM(AF21) &amp; " años " &amp; DATEDIF(Q21,R21,"ym") + DATEDIF(U21,V21,"ym") + DATEDIF(W21,X21,"ym") + SUM(AG21) - SUM(AK21) &amp; " meses " &amp; DATEDIF(Q21,R21,"md") + DATEDIF(U21,V21,"md") + DATEDIF(W21,X21,"md") - SUM(AL21) &amp; " días"</f>
        <v>39 años 4 meses 29 días</v>
      </c>
      <c r="G21" s="24">
        <v>1</v>
      </c>
      <c r="H21" s="20" t="str">
        <f t="shared" ref="H21" si="1">DATEDIF(S21,R21,"y") &amp; " años " &amp; DATEDIF(S21,R21,"ym") &amp; " meses " &amp; DATEDIF(S21,R21,"md") &amp; " días"</f>
        <v>60 años 0 meses 19 días</v>
      </c>
      <c r="I21" s="20" t="str">
        <f t="shared" ref="I21" si="2">DATEDIF(T21,R21,"y") &amp; " años " &amp; DATEDIF(T21,R21,"ym") &amp; " meses " &amp; DATEDIF(T21,R21,"md") &amp; " días"</f>
        <v>5 años 10 meses 7 días</v>
      </c>
      <c r="J21" s="172"/>
      <c r="K21" s="173"/>
      <c r="L21" s="26">
        <v>38187.54</v>
      </c>
      <c r="M21" s="26">
        <f t="shared" ref="M21:M41" si="3">L21*G21</f>
        <v>38187.54</v>
      </c>
      <c r="N21" s="27"/>
      <c r="O21" s="27" t="s">
        <v>42</v>
      </c>
      <c r="P21" s="26" t="s">
        <v>43</v>
      </c>
      <c r="Q21" s="28">
        <v>32356</v>
      </c>
      <c r="R21" s="28">
        <v>45294</v>
      </c>
      <c r="S21" s="28">
        <v>23360</v>
      </c>
      <c r="T21" s="28">
        <v>43158</v>
      </c>
      <c r="U21" s="28">
        <v>30376</v>
      </c>
      <c r="V21" s="28">
        <v>31836</v>
      </c>
      <c r="W21" s="28"/>
      <c r="X21" s="28"/>
      <c r="Y21" s="1"/>
      <c r="Z21" s="1"/>
      <c r="AA21" s="29"/>
      <c r="AB21" s="30" t="s">
        <v>35</v>
      </c>
      <c r="AC21" s="31" t="s">
        <v>36</v>
      </c>
      <c r="AD21" s="32" t="s">
        <v>37</v>
      </c>
      <c r="AF21" s="30">
        <v>1</v>
      </c>
      <c r="AG21" s="30"/>
      <c r="AH21" s="30"/>
      <c r="AJ21" s="30"/>
      <c r="AK21" s="30">
        <v>12</v>
      </c>
      <c r="AL21" s="30"/>
      <c r="AM21" s="20" t="s">
        <v>336</v>
      </c>
    </row>
    <row r="22" spans="1:43" s="7" customFormat="1" ht="45" customHeight="1" x14ac:dyDescent="0.2">
      <c r="A22" s="20">
        <v>3</v>
      </c>
      <c r="B22" s="20"/>
      <c r="C22" s="21" t="s">
        <v>44</v>
      </c>
      <c r="D22" s="22" t="s">
        <v>45</v>
      </c>
      <c r="E22" s="23" t="s">
        <v>46</v>
      </c>
      <c r="F22" s="20" t="str">
        <f>DATEDIF(Q22,R22,"y") + DATEDIF(U22,V22,"y") + DATEDIF(W22,X22,"y") + SUM(AF22) &amp; " años " &amp; DATEDIF(Q22,R22,"ym") + DATEDIF(U22,V22,"ym") + DATEDIF(W22,X22,"ym") + SUM(AG22) - SUM(AK22) &amp; " meses " &amp; DATEDIF(Q22,R22,"md") + DATEDIF(U22,V22,"md") + DATEDIF(W22,X22,"md") - SUM(AL22) &amp; " días"</f>
        <v>33 años 9 meses 2 días</v>
      </c>
      <c r="G22" s="24">
        <v>0.97</v>
      </c>
      <c r="H22" s="20" t="str">
        <f>DATEDIF(S22,R22,"y") &amp; " años " &amp; DATEDIF(S22,R22,"ym") &amp; " meses " &amp; DATEDIF(S22,R22,"md") &amp; " días"</f>
        <v>55 años 3 meses 4 días</v>
      </c>
      <c r="I22" s="20" t="str">
        <f>DATEDIF(T22,R22,"y") &amp; " años " &amp; DATEDIF(T22,R22,"ym") &amp; " meses " &amp; DATEDIF(T22,R22,"md") &amp; " días"</f>
        <v>7 años 10 meses 2 días</v>
      </c>
      <c r="J22" s="172"/>
      <c r="K22" s="173"/>
      <c r="L22" s="26">
        <v>70000</v>
      </c>
      <c r="M22" s="26">
        <f t="shared" si="3"/>
        <v>67900</v>
      </c>
      <c r="N22" s="27"/>
      <c r="O22" s="27" t="s">
        <v>42</v>
      </c>
      <c r="P22" s="26" t="s">
        <v>47</v>
      </c>
      <c r="Q22" s="28">
        <v>32964</v>
      </c>
      <c r="R22" s="28">
        <v>45294</v>
      </c>
      <c r="S22" s="28">
        <v>25111</v>
      </c>
      <c r="T22" s="28">
        <v>42430</v>
      </c>
      <c r="U22" s="28"/>
      <c r="V22" s="28"/>
      <c r="W22" s="28"/>
      <c r="X22" s="28"/>
      <c r="Y22" s="1"/>
      <c r="Z22" s="1"/>
      <c r="AA22" s="29"/>
      <c r="AB22" s="30" t="s">
        <v>48</v>
      </c>
      <c r="AC22" s="31" t="s">
        <v>36</v>
      </c>
      <c r="AD22" s="32" t="s">
        <v>37</v>
      </c>
      <c r="AF22" s="30"/>
      <c r="AG22" s="30"/>
      <c r="AH22" s="30"/>
      <c r="AJ22" s="30"/>
      <c r="AK22" s="30"/>
      <c r="AL22" s="30"/>
      <c r="AM22" s="20" t="s">
        <v>336</v>
      </c>
    </row>
    <row r="23" spans="1:43" s="7" customFormat="1" ht="45" customHeight="1" x14ac:dyDescent="0.2">
      <c r="A23" s="20">
        <v>4</v>
      </c>
      <c r="B23" s="20"/>
      <c r="C23" s="21" t="s">
        <v>49</v>
      </c>
      <c r="D23" s="22" t="s">
        <v>50</v>
      </c>
      <c r="E23" s="23" t="s">
        <v>51</v>
      </c>
      <c r="F23" s="20" t="str">
        <f>DATEDIF(Q23,R23,"y") + DATEDIF(U23,V23,"y") + DATEDIF(W23,X23,"y") + SUM(AF23) &amp; " años " &amp; DATEDIF(Q23,R23,"ym") + DATEDIF(U23,V23,"ym") + DATEDIF(W23,X23,"ym") + SUM(AG23) - SUM(AK23) &amp; " meses " &amp; DATEDIF(Q23,R23,"md") + DATEDIF(U23,V23,"md") + DATEDIF(W23,X23,"md") - SUM(AL23) &amp; " días"</f>
        <v>22 años 1 meses 19 días</v>
      </c>
      <c r="G23" s="24">
        <v>0.65</v>
      </c>
      <c r="H23" s="20" t="str">
        <f>DATEDIF(S23,R23,"y") &amp; " años " &amp; DATEDIF(S23,R23,"ym") &amp; " meses " &amp; DATEDIF(S23,R23,"md") &amp; " días"</f>
        <v>56 años 3 meses 5 días</v>
      </c>
      <c r="I23" s="20" t="str">
        <f>DATEDIF(T23,R23,"y") &amp; " años " &amp; DATEDIF(T23,R23,"ym") &amp; " meses " &amp; DATEDIF(T23,R23,"md") &amp; " días"</f>
        <v>3 años 10 meses 7 días</v>
      </c>
      <c r="J23" s="172"/>
      <c r="K23" s="173"/>
      <c r="L23" s="26">
        <v>29343.32</v>
      </c>
      <c r="M23" s="26">
        <f t="shared" si="3"/>
        <v>19073.157999999999</v>
      </c>
      <c r="N23" s="27"/>
      <c r="O23" s="27" t="s">
        <v>42</v>
      </c>
      <c r="P23" s="26" t="s">
        <v>52</v>
      </c>
      <c r="Q23" s="28">
        <v>37210</v>
      </c>
      <c r="R23" s="28">
        <v>45294</v>
      </c>
      <c r="S23" s="28">
        <v>24744</v>
      </c>
      <c r="T23" s="28">
        <v>43888</v>
      </c>
      <c r="U23" s="28"/>
      <c r="V23" s="28"/>
      <c r="W23" s="28"/>
      <c r="X23" s="28"/>
      <c r="Y23" s="1"/>
      <c r="Z23" s="1"/>
      <c r="AA23" s="29"/>
      <c r="AB23" s="30" t="s">
        <v>35</v>
      </c>
      <c r="AC23" s="31" t="s">
        <v>36</v>
      </c>
      <c r="AD23" s="32" t="s">
        <v>37</v>
      </c>
      <c r="AF23" s="30"/>
      <c r="AG23" s="30"/>
      <c r="AH23" s="30"/>
      <c r="AJ23" s="30"/>
      <c r="AK23" s="30"/>
      <c r="AL23" s="30"/>
      <c r="AM23" s="20" t="s">
        <v>336</v>
      </c>
    </row>
    <row r="24" spans="1:43" s="7" customFormat="1" ht="45" customHeight="1" x14ac:dyDescent="0.2">
      <c r="A24" s="20">
        <v>5</v>
      </c>
      <c r="B24" s="20" t="s">
        <v>38</v>
      </c>
      <c r="C24" s="21" t="s">
        <v>49</v>
      </c>
      <c r="D24" s="22" t="s">
        <v>53</v>
      </c>
      <c r="E24" s="23" t="s">
        <v>54</v>
      </c>
      <c r="F24" s="20" t="str">
        <f>DATEDIF(Q24,R24,"y") + DATEDIF(U24,V24,"y") + DATEDIF(W24,X24,"y") + SUM(AF24) &amp; " años " &amp; DATEDIF(Q24,R24,"ym") + DATEDIF(U24,V24,"ym") + DATEDIF(W24,X24,"ym") + SUM(AG24) - SUM(AK24) &amp; " meses " &amp; DATEDIF(Q24,R24,"md") + DATEDIF(U24,V24,"md") + DATEDIF(W24,X24,"md") - SUM(AL24) &amp; " días"</f>
        <v>34 años 10 meses 13 días</v>
      </c>
      <c r="G24" s="24">
        <v>1</v>
      </c>
      <c r="H24" s="20" t="str">
        <f>DATEDIF(S24,R24,"y") &amp; " años " &amp; DATEDIF(S24,R24,"ym") &amp; " meses " &amp; DATEDIF(S24,R24,"md") &amp; " días"</f>
        <v>58 años 1 meses 24 días</v>
      </c>
      <c r="I24" s="20" t="str">
        <f>DATEDIF(T24,R24,"y") &amp; " años " &amp; DATEDIF(T24,R24,"ym") &amp; " meses " &amp; DATEDIF(T24,R24,"md") &amp; " días"</f>
        <v>7 años 10 meses 2 días</v>
      </c>
      <c r="J24" s="172"/>
      <c r="K24" s="173"/>
      <c r="L24" s="26">
        <v>33637.53</v>
      </c>
      <c r="M24" s="26">
        <f t="shared" si="3"/>
        <v>33637.53</v>
      </c>
      <c r="N24" s="27"/>
      <c r="O24" s="27" t="s">
        <v>42</v>
      </c>
      <c r="P24" s="26" t="s">
        <v>55</v>
      </c>
      <c r="Q24" s="28">
        <v>36800</v>
      </c>
      <c r="R24" s="28">
        <v>45294</v>
      </c>
      <c r="S24" s="28">
        <v>24056</v>
      </c>
      <c r="T24" s="28">
        <v>42430</v>
      </c>
      <c r="U24" s="28">
        <v>31079</v>
      </c>
      <c r="V24" s="28">
        <v>35320</v>
      </c>
      <c r="W24" s="28"/>
      <c r="X24" s="28"/>
      <c r="Y24" s="1"/>
      <c r="Z24" s="1"/>
      <c r="AA24" s="29"/>
      <c r="AB24" s="30" t="s">
        <v>35</v>
      </c>
      <c r="AC24" s="31" t="s">
        <v>36</v>
      </c>
      <c r="AD24" s="32" t="s">
        <v>37</v>
      </c>
      <c r="AF24" s="30"/>
      <c r="AG24" s="30"/>
      <c r="AH24" s="30"/>
      <c r="AJ24" s="30"/>
      <c r="AK24" s="30"/>
      <c r="AL24" s="30"/>
      <c r="AM24" s="20" t="s">
        <v>336</v>
      </c>
    </row>
    <row r="25" spans="1:43" s="7" customFormat="1" ht="45" customHeight="1" x14ac:dyDescent="0.2">
      <c r="A25" s="20">
        <v>6</v>
      </c>
      <c r="B25" s="20"/>
      <c r="C25" s="21" t="s">
        <v>56</v>
      </c>
      <c r="D25" s="22" t="s">
        <v>57</v>
      </c>
      <c r="E25" s="23" t="s">
        <v>58</v>
      </c>
      <c r="F25" s="20" t="str">
        <f t="shared" ref="F25:F35" si="4">DATEDIF(Q25,R25,"y") + DATEDIF(U25,V25,"y") + DATEDIF(W25,X25,"y") + SUM(AF25) &amp; " años " &amp; DATEDIF(Q25,R25,"ym") + DATEDIF(U25,V25,"ym") + DATEDIF(W25,X25,"ym") + SUM(AG25) - SUM(AK25) &amp; " meses " &amp; DATEDIF(Q25,R25,"md") + DATEDIF(U25,V25,"md") + DATEDIF(W25,X25,"md") - SUM(AL25) &amp; " días"</f>
        <v>34 años 11 meses 14 días</v>
      </c>
      <c r="G25" s="24">
        <v>1</v>
      </c>
      <c r="H25" s="20" t="str">
        <f t="shared" ref="H25:H41" si="5">DATEDIF(S25,R25,"y") &amp; " años " &amp; DATEDIF(S25,R25,"ym") &amp; " meses " &amp; DATEDIF(S25,R25,"md") &amp; " días"</f>
        <v>56 años 11 meses 18 días</v>
      </c>
      <c r="I25" s="20" t="str">
        <f t="shared" ref="I25:I41" si="6">DATEDIF(T25,R25,"y") &amp; " años " &amp; DATEDIF(T25,R25,"ym") &amp; " meses " &amp; DATEDIF(T25,R25,"md") &amp; " días"</f>
        <v>3 años 10 meses 7 días</v>
      </c>
      <c r="J25" s="172"/>
      <c r="K25" s="173"/>
      <c r="L25" s="26">
        <v>27563.58</v>
      </c>
      <c r="M25" s="26">
        <f t="shared" si="3"/>
        <v>27563.58</v>
      </c>
      <c r="N25" s="27"/>
      <c r="O25" s="27" t="s">
        <v>42</v>
      </c>
      <c r="P25" s="26" t="s">
        <v>59</v>
      </c>
      <c r="Q25" s="28">
        <v>32528</v>
      </c>
      <c r="R25" s="28">
        <v>45294</v>
      </c>
      <c r="S25" s="28">
        <v>24488</v>
      </c>
      <c r="T25" s="28">
        <v>43888</v>
      </c>
      <c r="U25" s="28"/>
      <c r="V25" s="28"/>
      <c r="W25" s="28"/>
      <c r="X25" s="28"/>
      <c r="Y25" s="1"/>
      <c r="Z25" s="1"/>
      <c r="AA25" s="29"/>
      <c r="AB25" s="30" t="s">
        <v>35</v>
      </c>
      <c r="AC25" s="31" t="s">
        <v>36</v>
      </c>
      <c r="AD25" s="32" t="s">
        <v>37</v>
      </c>
      <c r="AF25" s="30"/>
      <c r="AG25" s="30"/>
      <c r="AH25" s="30"/>
      <c r="AJ25" s="30"/>
      <c r="AK25" s="30"/>
      <c r="AL25" s="30"/>
      <c r="AM25" s="20" t="s">
        <v>336</v>
      </c>
    </row>
    <row r="26" spans="1:43" s="7" customFormat="1" ht="45" customHeight="1" x14ac:dyDescent="0.2">
      <c r="A26" s="20">
        <v>7</v>
      </c>
      <c r="B26" s="20" t="s">
        <v>38</v>
      </c>
      <c r="C26" s="21" t="s">
        <v>56</v>
      </c>
      <c r="D26" s="22" t="s">
        <v>60</v>
      </c>
      <c r="E26" s="23" t="s">
        <v>61</v>
      </c>
      <c r="F26" s="20" t="str">
        <f t="shared" ref="F26" si="7">DATEDIF(Q26,R26,"y") + DATEDIF(U26,V26,"y") + DATEDIF(W26,X26,"y") + SUM(AF26) &amp; " años " &amp; DATEDIF(Q26,R26,"ym") + DATEDIF(U26,V26,"ym") + DATEDIF(W26,X26,"ym") + SUM(AG26) - SUM(AK26) &amp; " meses " &amp; DATEDIF(Q26,R26,"md") + DATEDIF(U26,V26,"md") + DATEDIF(W26,X26,"md") - SUM(AL26) &amp; " días"</f>
        <v>32 años 3 meses 2 días</v>
      </c>
      <c r="G26" s="24">
        <v>0.91</v>
      </c>
      <c r="H26" s="20" t="str">
        <f t="shared" si="5"/>
        <v>48 años 5 meses 10 días</v>
      </c>
      <c r="I26" s="20" t="str">
        <f t="shared" si="6"/>
        <v>8 años 10 meses 7 días</v>
      </c>
      <c r="J26" s="172"/>
      <c r="K26" s="173"/>
      <c r="L26" s="26">
        <v>29343.32</v>
      </c>
      <c r="M26" s="26">
        <f t="shared" si="3"/>
        <v>26702.421200000001</v>
      </c>
      <c r="N26" s="27"/>
      <c r="O26" s="27" t="s">
        <v>42</v>
      </c>
      <c r="P26" s="26" t="s">
        <v>62</v>
      </c>
      <c r="Q26" s="28">
        <v>33512</v>
      </c>
      <c r="R26" s="28">
        <v>45294</v>
      </c>
      <c r="S26" s="28">
        <v>27599</v>
      </c>
      <c r="T26" s="28">
        <v>42062</v>
      </c>
      <c r="U26" s="28"/>
      <c r="V26" s="28"/>
      <c r="W26" s="28"/>
      <c r="X26" s="28"/>
      <c r="Y26" s="1"/>
      <c r="Z26" s="1"/>
      <c r="AA26" s="29"/>
      <c r="AB26" s="30" t="s">
        <v>35</v>
      </c>
      <c r="AC26" s="31" t="s">
        <v>36</v>
      </c>
      <c r="AD26" s="32" t="s">
        <v>37</v>
      </c>
      <c r="AF26" s="30"/>
      <c r="AG26" s="30"/>
      <c r="AH26" s="30"/>
      <c r="AJ26" s="30"/>
      <c r="AK26" s="30"/>
      <c r="AL26" s="30"/>
      <c r="AM26" s="20" t="s">
        <v>336</v>
      </c>
    </row>
    <row r="27" spans="1:43" s="7" customFormat="1" ht="45" customHeight="1" x14ac:dyDescent="0.2">
      <c r="A27" s="20">
        <v>8</v>
      </c>
      <c r="B27" s="20" t="s">
        <v>63</v>
      </c>
      <c r="C27" s="21" t="s">
        <v>56</v>
      </c>
      <c r="D27" s="22" t="s">
        <v>64</v>
      </c>
      <c r="E27" s="23" t="s">
        <v>65</v>
      </c>
      <c r="F27" s="20" t="str">
        <f t="shared" ref="F27:F33" si="8">DATEDIF(Q27,R27,"y") + DATEDIF(U27,V27,"y") + DATEDIF(W27,X27,"y") + SUM(AF27) &amp; " años " &amp; DATEDIF(Q27,R27,"ym") + DATEDIF(U27,V27,"ym") + DATEDIF(W27,X27,"ym") + SUM(AG27) - SUM(AK27) &amp; " meses " &amp; DATEDIF(Q27,R27,"md") + DATEDIF(U27,V27,"md") + DATEDIF(W27,X27,"md") - SUM(AL27) &amp; " días"</f>
        <v>34 años 9 meses 2 días</v>
      </c>
      <c r="G27" s="24">
        <v>1</v>
      </c>
      <c r="H27" s="20" t="str">
        <f t="shared" si="5"/>
        <v>53 años 2 meses 20 días</v>
      </c>
      <c r="I27" s="20" t="str">
        <f t="shared" si="6"/>
        <v>4 años 10 meses 2 días</v>
      </c>
      <c r="J27" s="172"/>
      <c r="K27" s="173"/>
      <c r="L27" s="26">
        <v>27563.58</v>
      </c>
      <c r="M27" s="26">
        <f t="shared" si="3"/>
        <v>27563.58</v>
      </c>
      <c r="N27" s="27"/>
      <c r="O27" s="27" t="s">
        <v>42</v>
      </c>
      <c r="P27" s="26" t="s">
        <v>66</v>
      </c>
      <c r="Q27" s="28">
        <v>32599</v>
      </c>
      <c r="R27" s="28">
        <v>45294</v>
      </c>
      <c r="S27" s="28">
        <v>25855</v>
      </c>
      <c r="T27" s="28">
        <v>43525</v>
      </c>
      <c r="U27" s="28"/>
      <c r="V27" s="28"/>
      <c r="W27" s="28"/>
      <c r="X27" s="28"/>
      <c r="Y27" s="1"/>
      <c r="Z27" s="1"/>
      <c r="AA27" s="29"/>
      <c r="AB27" s="30" t="s">
        <v>35</v>
      </c>
      <c r="AC27" s="31" t="s">
        <v>36</v>
      </c>
      <c r="AD27" s="32" t="s">
        <v>37</v>
      </c>
      <c r="AF27" s="30"/>
      <c r="AG27" s="30"/>
      <c r="AH27" s="30"/>
      <c r="AJ27" s="30"/>
      <c r="AK27" s="30"/>
      <c r="AL27" s="30"/>
      <c r="AM27" s="20" t="s">
        <v>336</v>
      </c>
    </row>
    <row r="28" spans="1:43" s="7" customFormat="1" ht="45" customHeight="1" x14ac:dyDescent="0.2">
      <c r="A28" s="20">
        <v>9</v>
      </c>
      <c r="B28" s="20" t="s">
        <v>67</v>
      </c>
      <c r="C28" s="21" t="s">
        <v>56</v>
      </c>
      <c r="D28" s="22" t="s">
        <v>68</v>
      </c>
      <c r="E28" s="23" t="s">
        <v>69</v>
      </c>
      <c r="F28" s="20" t="str">
        <f t="shared" si="8"/>
        <v>30 años 3 meses 2 días</v>
      </c>
      <c r="G28" s="24">
        <v>0.85</v>
      </c>
      <c r="H28" s="20" t="str">
        <f t="shared" si="5"/>
        <v>48 años 8 meses 20 días</v>
      </c>
      <c r="I28" s="20" t="str">
        <f t="shared" si="6"/>
        <v>0 años 10 meses 7 días</v>
      </c>
      <c r="J28" s="172"/>
      <c r="K28" s="173"/>
      <c r="L28" s="26">
        <v>27563.58</v>
      </c>
      <c r="M28" s="26">
        <f t="shared" si="3"/>
        <v>23429.043000000001</v>
      </c>
      <c r="N28" s="27"/>
      <c r="O28" s="27" t="s">
        <v>42</v>
      </c>
      <c r="P28" s="26" t="s">
        <v>70</v>
      </c>
      <c r="Q28" s="28">
        <v>35704</v>
      </c>
      <c r="R28" s="28">
        <v>45294</v>
      </c>
      <c r="S28" s="28">
        <v>27498</v>
      </c>
      <c r="T28" s="28">
        <v>44984</v>
      </c>
      <c r="U28" s="28">
        <v>33664</v>
      </c>
      <c r="V28" s="28">
        <v>35125</v>
      </c>
      <c r="W28" s="28"/>
      <c r="X28" s="28"/>
      <c r="Y28" s="1"/>
      <c r="Z28" s="1"/>
      <c r="AA28" s="29"/>
      <c r="AB28" s="30" t="s">
        <v>35</v>
      </c>
      <c r="AC28" s="31" t="s">
        <v>36</v>
      </c>
      <c r="AD28" s="32" t="s">
        <v>37</v>
      </c>
      <c r="AF28" s="30"/>
      <c r="AG28" s="30"/>
      <c r="AH28" s="30"/>
      <c r="AJ28" s="30"/>
      <c r="AK28" s="30"/>
      <c r="AL28" s="30"/>
      <c r="AM28" s="20" t="s">
        <v>336</v>
      </c>
    </row>
    <row r="29" spans="1:43" s="7" customFormat="1" ht="45" customHeight="1" x14ac:dyDescent="0.2">
      <c r="A29" s="20">
        <v>10</v>
      </c>
      <c r="B29" s="20"/>
      <c r="C29" s="21" t="s">
        <v>56</v>
      </c>
      <c r="D29" s="22" t="s">
        <v>71</v>
      </c>
      <c r="E29" s="23" t="s">
        <v>72</v>
      </c>
      <c r="F29" s="20" t="str">
        <f t="shared" si="8"/>
        <v>34 años 7 meses 19 días</v>
      </c>
      <c r="G29" s="24">
        <v>1</v>
      </c>
      <c r="H29" s="20" t="str">
        <f t="shared" si="5"/>
        <v>55 años 11 meses 1 días</v>
      </c>
      <c r="I29" s="20" t="str">
        <f t="shared" si="6"/>
        <v>7 años 10 meses 2 días</v>
      </c>
      <c r="J29" s="172"/>
      <c r="K29" s="173"/>
      <c r="L29" s="26">
        <v>29343.32</v>
      </c>
      <c r="M29" s="26">
        <f t="shared" si="3"/>
        <v>29343.32</v>
      </c>
      <c r="N29" s="27" t="s">
        <v>32</v>
      </c>
      <c r="O29" s="27" t="s">
        <v>33</v>
      </c>
      <c r="P29" s="26" t="s">
        <v>73</v>
      </c>
      <c r="Q29" s="28">
        <v>32643</v>
      </c>
      <c r="R29" s="28">
        <v>45294</v>
      </c>
      <c r="S29" s="28">
        <v>24870</v>
      </c>
      <c r="T29" s="28">
        <v>42430</v>
      </c>
      <c r="U29" s="28"/>
      <c r="V29" s="28"/>
      <c r="W29" s="28"/>
      <c r="X29" s="28"/>
      <c r="Y29" s="1"/>
      <c r="Z29" s="1"/>
      <c r="AA29" s="29"/>
      <c r="AB29" s="30" t="s">
        <v>35</v>
      </c>
      <c r="AC29" s="31" t="s">
        <v>36</v>
      </c>
      <c r="AD29" s="32" t="s">
        <v>37</v>
      </c>
      <c r="AF29" s="30"/>
      <c r="AG29" s="30"/>
      <c r="AH29" s="30"/>
      <c r="AJ29" s="30"/>
      <c r="AK29" s="30"/>
      <c r="AL29" s="30"/>
      <c r="AM29" s="20" t="s">
        <v>337</v>
      </c>
    </row>
    <row r="30" spans="1:43" s="7" customFormat="1" ht="45" customHeight="1" x14ac:dyDescent="0.2">
      <c r="A30" s="20">
        <v>11</v>
      </c>
      <c r="B30" s="20"/>
      <c r="C30" s="21" t="s">
        <v>56</v>
      </c>
      <c r="D30" s="22" t="s">
        <v>74</v>
      </c>
      <c r="E30" s="23" t="s">
        <v>75</v>
      </c>
      <c r="F30" s="20" t="str">
        <f t="shared" si="8"/>
        <v>37 años 6 meses 2 días</v>
      </c>
      <c r="G30" s="24">
        <v>1</v>
      </c>
      <c r="H30" s="20" t="str">
        <f t="shared" si="5"/>
        <v>56 años 11 meses 24 días</v>
      </c>
      <c r="I30" s="20" t="str">
        <f t="shared" si="6"/>
        <v>11 años 10 meses 2 días</v>
      </c>
      <c r="J30" s="172" t="s">
        <v>13</v>
      </c>
      <c r="K30" s="173"/>
      <c r="L30" s="26">
        <f>29343.32+12000</f>
        <v>41343.32</v>
      </c>
      <c r="M30" s="26">
        <f t="shared" si="3"/>
        <v>41343.32</v>
      </c>
      <c r="N30" s="27" t="s">
        <v>32</v>
      </c>
      <c r="O30" s="27" t="s">
        <v>33</v>
      </c>
      <c r="P30" s="26" t="s">
        <v>76</v>
      </c>
      <c r="Q30" s="28">
        <v>31594</v>
      </c>
      <c r="R30" s="28">
        <v>45294</v>
      </c>
      <c r="S30" s="28">
        <v>24482</v>
      </c>
      <c r="T30" s="28">
        <v>40969</v>
      </c>
      <c r="U30" s="28"/>
      <c r="V30" s="28"/>
      <c r="W30" s="28"/>
      <c r="X30" s="28"/>
      <c r="Y30" s="1"/>
      <c r="Z30" s="1"/>
      <c r="AA30" s="29"/>
      <c r="AB30" s="30" t="s">
        <v>35</v>
      </c>
      <c r="AC30" s="31" t="s">
        <v>36</v>
      </c>
      <c r="AD30" s="32" t="s">
        <v>37</v>
      </c>
      <c r="AF30" s="30"/>
      <c r="AG30" s="30"/>
      <c r="AH30" s="30"/>
      <c r="AJ30" s="30"/>
      <c r="AK30" s="30"/>
      <c r="AL30" s="30"/>
      <c r="AM30" s="20" t="s">
        <v>337</v>
      </c>
    </row>
    <row r="31" spans="1:43" s="7" customFormat="1" ht="45" customHeight="1" x14ac:dyDescent="0.2">
      <c r="A31" s="20">
        <v>12</v>
      </c>
      <c r="B31" s="20"/>
      <c r="C31" s="21" t="s">
        <v>77</v>
      </c>
      <c r="D31" s="22" t="s">
        <v>78</v>
      </c>
      <c r="E31" s="23" t="s">
        <v>79</v>
      </c>
      <c r="F31" s="20" t="str">
        <f t="shared" si="8"/>
        <v>26 años 6 meses 0 días</v>
      </c>
      <c r="G31" s="24">
        <v>0.77500000000000002</v>
      </c>
      <c r="H31" s="20" t="str">
        <f t="shared" si="5"/>
        <v>60 años 6 meses 15 días</v>
      </c>
      <c r="I31" s="20" t="str">
        <f t="shared" si="6"/>
        <v>7 años 5 meses 5 días</v>
      </c>
      <c r="J31" s="172"/>
      <c r="K31" s="173"/>
      <c r="L31" s="26">
        <v>29343.32</v>
      </c>
      <c r="M31" s="26">
        <f t="shared" si="3"/>
        <v>22741.073</v>
      </c>
      <c r="N31" s="27" t="s">
        <v>80</v>
      </c>
      <c r="O31" s="27" t="s">
        <v>33</v>
      </c>
      <c r="P31" s="26" t="s">
        <v>81</v>
      </c>
      <c r="Q31" s="28">
        <v>35096</v>
      </c>
      <c r="R31" s="28">
        <v>44774</v>
      </c>
      <c r="S31" s="28">
        <v>22663</v>
      </c>
      <c r="T31" s="28">
        <v>42062</v>
      </c>
      <c r="U31" s="28"/>
      <c r="V31" s="28"/>
      <c r="W31" s="28"/>
      <c r="X31" s="28"/>
      <c r="Y31" s="1"/>
      <c r="Z31" s="1"/>
      <c r="AA31" s="29"/>
      <c r="AB31" s="30" t="s">
        <v>35</v>
      </c>
      <c r="AC31" s="31" t="s">
        <v>36</v>
      </c>
      <c r="AD31" s="32" t="s">
        <v>37</v>
      </c>
      <c r="AF31" s="30"/>
      <c r="AG31" s="30"/>
      <c r="AH31" s="30"/>
      <c r="AJ31" s="30"/>
      <c r="AK31" s="30"/>
      <c r="AL31" s="30"/>
      <c r="AM31" s="20" t="s">
        <v>338</v>
      </c>
    </row>
    <row r="32" spans="1:43" s="7" customFormat="1" ht="45" customHeight="1" x14ac:dyDescent="0.2">
      <c r="A32" s="20">
        <v>13</v>
      </c>
      <c r="B32" s="20"/>
      <c r="C32" s="21" t="s">
        <v>77</v>
      </c>
      <c r="D32" s="22" t="s">
        <v>82</v>
      </c>
      <c r="E32" s="23" t="s">
        <v>83</v>
      </c>
      <c r="F32" s="20" t="str">
        <f t="shared" si="8"/>
        <v>29 años 2 meses 26 días</v>
      </c>
      <c r="G32" s="24">
        <v>0.82499999999999996</v>
      </c>
      <c r="H32" s="20" t="str">
        <f t="shared" si="5"/>
        <v>52 años 8 meses 4 días</v>
      </c>
      <c r="I32" s="20" t="str">
        <f t="shared" si="6"/>
        <v>7 años 1 meses 4 días</v>
      </c>
      <c r="J32" s="172"/>
      <c r="K32" s="173"/>
      <c r="L32" s="26">
        <v>29343.32</v>
      </c>
      <c r="M32" s="26">
        <f t="shared" si="3"/>
        <v>24208.238999999998</v>
      </c>
      <c r="N32" s="27" t="s">
        <v>80</v>
      </c>
      <c r="O32" s="27" t="s">
        <v>33</v>
      </c>
      <c r="P32" s="26" t="s">
        <v>84</v>
      </c>
      <c r="Q32" s="28">
        <v>34344</v>
      </c>
      <c r="R32" s="28">
        <v>45021</v>
      </c>
      <c r="S32" s="28">
        <v>25781</v>
      </c>
      <c r="T32" s="28">
        <v>42430</v>
      </c>
      <c r="U32" s="28"/>
      <c r="V32" s="28"/>
      <c r="W32" s="28"/>
      <c r="X32" s="28"/>
      <c r="Y32" s="1"/>
      <c r="Z32" s="1"/>
      <c r="AA32" s="29"/>
      <c r="AB32" s="30" t="s">
        <v>35</v>
      </c>
      <c r="AC32" s="31" t="s">
        <v>36</v>
      </c>
      <c r="AD32" s="32" t="s">
        <v>37</v>
      </c>
      <c r="AF32" s="30"/>
      <c r="AG32" s="30"/>
      <c r="AH32" s="30"/>
      <c r="AJ32" s="30"/>
      <c r="AK32" s="30"/>
      <c r="AL32" s="30"/>
      <c r="AM32" s="20" t="s">
        <v>338</v>
      </c>
    </row>
    <row r="33" spans="1:39" s="7" customFormat="1" ht="45" customHeight="1" x14ac:dyDescent="0.2">
      <c r="A33" s="20">
        <v>14</v>
      </c>
      <c r="B33" s="20"/>
      <c r="C33" s="21" t="s">
        <v>77</v>
      </c>
      <c r="D33" s="22" t="s">
        <v>85</v>
      </c>
      <c r="E33" s="23" t="s">
        <v>86</v>
      </c>
      <c r="F33" s="20" t="str">
        <f t="shared" si="8"/>
        <v>20 años 9 meses 1 días</v>
      </c>
      <c r="G33" s="24">
        <v>0.625</v>
      </c>
      <c r="H33" s="20" t="str">
        <f t="shared" si="5"/>
        <v>41 años 3 meses 16 días</v>
      </c>
      <c r="I33" s="20" t="str">
        <f t="shared" si="6"/>
        <v>3 años 2 meses 5 días</v>
      </c>
      <c r="J33" s="172"/>
      <c r="K33" s="173"/>
      <c r="L33" s="26">
        <v>27563.58</v>
      </c>
      <c r="M33" s="26">
        <f t="shared" si="3"/>
        <v>17227.237500000003</v>
      </c>
      <c r="N33" s="27" t="s">
        <v>80</v>
      </c>
      <c r="O33" s="27"/>
      <c r="P33" s="26"/>
      <c r="Q33" s="28">
        <v>37469</v>
      </c>
      <c r="R33" s="28">
        <v>45048</v>
      </c>
      <c r="S33" s="28">
        <v>29967</v>
      </c>
      <c r="T33" s="28">
        <v>43888</v>
      </c>
      <c r="U33" s="28"/>
      <c r="V33" s="28"/>
      <c r="W33" s="28"/>
      <c r="X33" s="28"/>
      <c r="Y33" s="1"/>
      <c r="Z33" s="1"/>
      <c r="AA33" s="29"/>
      <c r="AB33" s="30" t="s">
        <v>35</v>
      </c>
      <c r="AC33" s="31" t="s">
        <v>36</v>
      </c>
      <c r="AD33" s="32" t="s">
        <v>37</v>
      </c>
      <c r="AF33" s="30"/>
      <c r="AG33" s="30"/>
      <c r="AH33" s="30"/>
      <c r="AJ33" s="30"/>
      <c r="AK33" s="30"/>
      <c r="AL33" s="30"/>
      <c r="AM33" s="20" t="s">
        <v>338</v>
      </c>
    </row>
    <row r="34" spans="1:39" s="7" customFormat="1" ht="45" customHeight="1" x14ac:dyDescent="0.2">
      <c r="A34" s="20">
        <v>15</v>
      </c>
      <c r="B34" s="20"/>
      <c r="C34" s="21" t="s">
        <v>87</v>
      </c>
      <c r="D34" s="22" t="s">
        <v>88</v>
      </c>
      <c r="E34" s="23" t="s">
        <v>89</v>
      </c>
      <c r="F34" s="20" t="str">
        <f t="shared" si="4"/>
        <v>25 años 7 meses 23 días</v>
      </c>
      <c r="G34" s="24">
        <v>0.75</v>
      </c>
      <c r="H34" s="20" t="str">
        <f t="shared" si="5"/>
        <v>44 años 6 meses 8 días</v>
      </c>
      <c r="I34" s="20" t="str">
        <f t="shared" si="6"/>
        <v>6 años 10 meses 2 días</v>
      </c>
      <c r="J34" s="172"/>
      <c r="K34" s="173"/>
      <c r="L34" s="26">
        <v>27563.58</v>
      </c>
      <c r="M34" s="26">
        <f t="shared" si="3"/>
        <v>20672.685000000001</v>
      </c>
      <c r="N34" s="27"/>
      <c r="O34" s="27" t="s">
        <v>42</v>
      </c>
      <c r="P34" s="26" t="s">
        <v>90</v>
      </c>
      <c r="Q34" s="28">
        <v>36784</v>
      </c>
      <c r="R34" s="28">
        <v>45294</v>
      </c>
      <c r="S34" s="28">
        <v>29032</v>
      </c>
      <c r="T34" s="28">
        <v>42795</v>
      </c>
      <c r="U34" s="28">
        <v>35855</v>
      </c>
      <c r="V34" s="28">
        <v>36164</v>
      </c>
      <c r="W34" s="28">
        <v>36164</v>
      </c>
      <c r="X34" s="28">
        <v>36712</v>
      </c>
      <c r="Y34" s="1"/>
      <c r="Z34" s="1"/>
      <c r="AA34" s="29"/>
      <c r="AB34" s="30" t="s">
        <v>35</v>
      </c>
      <c r="AC34" s="31" t="s">
        <v>36</v>
      </c>
      <c r="AD34" s="32" t="s">
        <v>37</v>
      </c>
      <c r="AF34" s="30">
        <v>1</v>
      </c>
      <c r="AG34" s="30"/>
      <c r="AH34" s="30"/>
      <c r="AJ34" s="30"/>
      <c r="AK34" s="30">
        <v>12</v>
      </c>
      <c r="AL34" s="30"/>
      <c r="AM34" s="20" t="s">
        <v>336</v>
      </c>
    </row>
    <row r="35" spans="1:39" s="7" customFormat="1" ht="45" customHeight="1" x14ac:dyDescent="0.2">
      <c r="A35" s="20">
        <v>16</v>
      </c>
      <c r="B35" s="20"/>
      <c r="C35" s="21" t="s">
        <v>87</v>
      </c>
      <c r="D35" s="22" t="s">
        <v>91</v>
      </c>
      <c r="E35" s="23" t="s">
        <v>92</v>
      </c>
      <c r="F35" s="20" t="str">
        <f t="shared" si="4"/>
        <v>24 años 6 meses 2 días</v>
      </c>
      <c r="G35" s="24">
        <v>0.72499999999999998</v>
      </c>
      <c r="H35" s="20" t="str">
        <f t="shared" si="5"/>
        <v>57 años 11 meses 2 días</v>
      </c>
      <c r="I35" s="20" t="str">
        <f t="shared" si="6"/>
        <v>6 años 10 meses 2 días</v>
      </c>
      <c r="J35" s="172"/>
      <c r="K35" s="173"/>
      <c r="L35" s="26">
        <f>27563.58+8000</f>
        <v>35563.58</v>
      </c>
      <c r="M35" s="26">
        <f t="shared" si="3"/>
        <v>25783.595499999999</v>
      </c>
      <c r="N35" s="27"/>
      <c r="O35" s="27"/>
      <c r="P35" s="26"/>
      <c r="Q35" s="28">
        <v>36342</v>
      </c>
      <c r="R35" s="28">
        <v>45294</v>
      </c>
      <c r="S35" s="28">
        <v>24139</v>
      </c>
      <c r="T35" s="28">
        <v>42795</v>
      </c>
      <c r="U35" s="28"/>
      <c r="V35" s="28"/>
      <c r="W35" s="28"/>
      <c r="X35" s="28"/>
      <c r="Y35" s="1"/>
      <c r="Z35" s="1"/>
      <c r="AA35" s="29"/>
      <c r="AB35" s="30" t="s">
        <v>35</v>
      </c>
      <c r="AC35" s="31" t="s">
        <v>36</v>
      </c>
      <c r="AD35" s="32"/>
      <c r="AF35" s="30"/>
      <c r="AG35" s="30"/>
      <c r="AH35" s="30"/>
      <c r="AJ35" s="30"/>
      <c r="AK35" s="30"/>
      <c r="AL35" s="30"/>
      <c r="AM35" s="20" t="s">
        <v>336</v>
      </c>
    </row>
    <row r="36" spans="1:39" s="7" customFormat="1" ht="45" customHeight="1" x14ac:dyDescent="0.2">
      <c r="A36" s="20">
        <v>17</v>
      </c>
      <c r="B36" s="20" t="s">
        <v>38</v>
      </c>
      <c r="C36" s="21" t="s">
        <v>87</v>
      </c>
      <c r="D36" s="22" t="s">
        <v>93</v>
      </c>
      <c r="E36" s="23" t="s">
        <v>94</v>
      </c>
      <c r="F36" s="20" t="str">
        <f t="shared" ref="F36:F41" si="9">DATEDIF(Q36,R36,"y") + DATEDIF(U36,V36,"y") + DATEDIF(W36,X36,"y") + SUM(AF36) &amp; " años " &amp; DATEDIF(Q36,R36,"ym") + DATEDIF(U36,V36,"ym") + DATEDIF(W36,X36,"ym") + SUM(AG36) - SUM(AK36) &amp; " meses " &amp; DATEDIF(Q36,R36,"md") + DATEDIF(U36,V36,"md") + DATEDIF(W36,X36,"md") - SUM(AL36) &amp; " días"</f>
        <v>38 años 9 meses 9 días</v>
      </c>
      <c r="G36" s="24">
        <v>1</v>
      </c>
      <c r="H36" s="20" t="str">
        <f t="shared" si="5"/>
        <v>57 años 5 meses 13 días</v>
      </c>
      <c r="I36" s="20" t="str">
        <f t="shared" si="6"/>
        <v>12 años 10 meses 2 días</v>
      </c>
      <c r="J36" s="172" t="s">
        <v>13</v>
      </c>
      <c r="K36" s="173"/>
      <c r="L36" s="26">
        <v>27563.58</v>
      </c>
      <c r="M36" s="26">
        <f t="shared" si="3"/>
        <v>27563.58</v>
      </c>
      <c r="N36" s="27"/>
      <c r="O36" s="27" t="s">
        <v>42</v>
      </c>
      <c r="P36" s="26" t="s">
        <v>95</v>
      </c>
      <c r="Q36" s="28">
        <v>31131</v>
      </c>
      <c r="R36" s="28">
        <v>45294</v>
      </c>
      <c r="S36" s="28">
        <v>24309</v>
      </c>
      <c r="T36" s="28">
        <v>40603</v>
      </c>
      <c r="U36" s="28"/>
      <c r="V36" s="28"/>
      <c r="W36" s="28"/>
      <c r="X36" s="28"/>
      <c r="Y36" s="1"/>
      <c r="Z36" s="1"/>
      <c r="AA36" s="29"/>
      <c r="AB36" s="30" t="s">
        <v>48</v>
      </c>
      <c r="AC36" s="31" t="s">
        <v>36</v>
      </c>
      <c r="AD36" s="32" t="s">
        <v>37</v>
      </c>
      <c r="AF36" s="30"/>
      <c r="AG36" s="30"/>
      <c r="AH36" s="30"/>
      <c r="AJ36" s="30"/>
      <c r="AK36" s="30"/>
      <c r="AL36" s="30"/>
      <c r="AM36" s="20" t="s">
        <v>336</v>
      </c>
    </row>
    <row r="37" spans="1:39" s="7" customFormat="1" ht="45" customHeight="1" x14ac:dyDescent="0.2">
      <c r="A37" s="20">
        <v>18</v>
      </c>
      <c r="B37" s="20" t="s">
        <v>38</v>
      </c>
      <c r="C37" s="21" t="s">
        <v>87</v>
      </c>
      <c r="D37" s="22" t="s">
        <v>96</v>
      </c>
      <c r="E37" s="23" t="s">
        <v>97</v>
      </c>
      <c r="F37" s="20" t="str">
        <f t="shared" si="9"/>
        <v>29 años 9 meses 2 días</v>
      </c>
      <c r="G37" s="24">
        <v>0.85</v>
      </c>
      <c r="H37" s="20" t="str">
        <f t="shared" si="5"/>
        <v>48 años 11 meses 0 días</v>
      </c>
      <c r="I37" s="20" t="str">
        <f t="shared" si="6"/>
        <v>7 años 10 meses 2 días</v>
      </c>
      <c r="J37" s="172"/>
      <c r="K37" s="173"/>
      <c r="L37" s="26">
        <v>27563.58</v>
      </c>
      <c r="M37" s="26">
        <f t="shared" si="3"/>
        <v>23429.043000000001</v>
      </c>
      <c r="N37" s="27"/>
      <c r="O37" s="27" t="s">
        <v>42</v>
      </c>
      <c r="P37" s="26" t="s">
        <v>98</v>
      </c>
      <c r="Q37" s="28">
        <v>35886</v>
      </c>
      <c r="R37" s="28">
        <v>45294</v>
      </c>
      <c r="S37" s="28">
        <v>27428</v>
      </c>
      <c r="T37" s="28">
        <v>42430</v>
      </c>
      <c r="U37" s="28">
        <v>34151</v>
      </c>
      <c r="V37" s="28">
        <v>35612</v>
      </c>
      <c r="W37" s="28"/>
      <c r="X37" s="28"/>
      <c r="Y37" s="1"/>
      <c r="Z37" s="1"/>
      <c r="AA37" s="29"/>
      <c r="AB37" s="30" t="s">
        <v>35</v>
      </c>
      <c r="AC37" s="31" t="s">
        <v>36</v>
      </c>
      <c r="AD37" s="32" t="s">
        <v>37</v>
      </c>
      <c r="AF37" s="30"/>
      <c r="AG37" s="30"/>
      <c r="AH37" s="30"/>
      <c r="AJ37" s="30"/>
      <c r="AK37" s="30"/>
      <c r="AL37" s="30"/>
      <c r="AM37" s="20" t="s">
        <v>336</v>
      </c>
    </row>
    <row r="38" spans="1:39" s="7" customFormat="1" ht="45" customHeight="1" x14ac:dyDescent="0.2">
      <c r="A38" s="20">
        <v>19</v>
      </c>
      <c r="B38" s="20" t="s">
        <v>38</v>
      </c>
      <c r="C38" s="21" t="s">
        <v>87</v>
      </c>
      <c r="D38" s="22" t="s">
        <v>99</v>
      </c>
      <c r="E38" s="23" t="s">
        <v>100</v>
      </c>
      <c r="F38" s="20" t="str">
        <f t="shared" si="9"/>
        <v>30 años 3 meses 2 días</v>
      </c>
      <c r="G38" s="24">
        <v>0.85</v>
      </c>
      <c r="H38" s="20" t="str">
        <f t="shared" si="5"/>
        <v>60 años 11 meses 19 días</v>
      </c>
      <c r="I38" s="20" t="str">
        <f t="shared" si="6"/>
        <v>12 años 10 meses 2 días</v>
      </c>
      <c r="J38" s="172" t="s">
        <v>13</v>
      </c>
      <c r="K38" s="173"/>
      <c r="L38" s="26">
        <v>27563.58</v>
      </c>
      <c r="M38" s="26">
        <f t="shared" si="3"/>
        <v>23429.043000000001</v>
      </c>
      <c r="N38" s="27"/>
      <c r="O38" s="27" t="s">
        <v>42</v>
      </c>
      <c r="P38" s="26" t="s">
        <v>101</v>
      </c>
      <c r="Q38" s="28">
        <v>34243</v>
      </c>
      <c r="R38" s="28">
        <v>45294</v>
      </c>
      <c r="S38" s="28">
        <v>23026</v>
      </c>
      <c r="T38" s="28">
        <v>40603</v>
      </c>
      <c r="U38" s="28"/>
      <c r="V38" s="28"/>
      <c r="W38" s="28"/>
      <c r="X38" s="28"/>
      <c r="Y38" s="1"/>
      <c r="Z38" s="1"/>
      <c r="AA38" s="29"/>
      <c r="AB38" s="30" t="s">
        <v>35</v>
      </c>
      <c r="AC38" s="31" t="s">
        <v>36</v>
      </c>
      <c r="AD38" s="32" t="s">
        <v>37</v>
      </c>
      <c r="AF38" s="30"/>
      <c r="AG38" s="30"/>
      <c r="AH38" s="30"/>
      <c r="AJ38" s="30"/>
      <c r="AK38" s="30"/>
      <c r="AL38" s="30"/>
      <c r="AM38" s="20" t="s">
        <v>336</v>
      </c>
    </row>
    <row r="39" spans="1:39" s="7" customFormat="1" ht="45" customHeight="1" x14ac:dyDescent="0.2">
      <c r="A39" s="20">
        <v>20</v>
      </c>
      <c r="B39" s="20" t="s">
        <v>63</v>
      </c>
      <c r="C39" s="21" t="s">
        <v>87</v>
      </c>
      <c r="D39" s="22" t="s">
        <v>102</v>
      </c>
      <c r="E39" s="23" t="s">
        <v>103</v>
      </c>
      <c r="F39" s="20" t="str">
        <f t="shared" si="9"/>
        <v>28 años 8 meses 2 días</v>
      </c>
      <c r="G39" s="24">
        <v>0.82499999999999996</v>
      </c>
      <c r="H39" s="20" t="str">
        <f t="shared" si="5"/>
        <v>49 años 7 meses 15 días</v>
      </c>
      <c r="I39" s="20" t="str">
        <f t="shared" si="6"/>
        <v>6 años 10 meses 2 días</v>
      </c>
      <c r="J39" s="172"/>
      <c r="K39" s="173"/>
      <c r="L39" s="26">
        <v>27563.58</v>
      </c>
      <c r="M39" s="26">
        <f t="shared" si="3"/>
        <v>22739.9535</v>
      </c>
      <c r="N39" s="27"/>
      <c r="O39" s="27" t="s">
        <v>42</v>
      </c>
      <c r="P39" s="26" t="s">
        <v>104</v>
      </c>
      <c r="Q39" s="28">
        <v>34820</v>
      </c>
      <c r="R39" s="28">
        <v>45294</v>
      </c>
      <c r="S39" s="28">
        <v>27168</v>
      </c>
      <c r="T39" s="28">
        <v>42795</v>
      </c>
      <c r="U39" s="28"/>
      <c r="V39" s="28"/>
      <c r="W39" s="28"/>
      <c r="X39" s="28"/>
      <c r="Y39" s="1"/>
      <c r="Z39" s="1"/>
      <c r="AA39" s="29"/>
      <c r="AB39" s="30" t="s">
        <v>35</v>
      </c>
      <c r="AC39" s="31" t="s">
        <v>36</v>
      </c>
      <c r="AD39" s="32" t="s">
        <v>37</v>
      </c>
      <c r="AF39" s="30"/>
      <c r="AG39" s="30"/>
      <c r="AH39" s="30"/>
      <c r="AJ39" s="30"/>
      <c r="AK39" s="30"/>
      <c r="AL39" s="30"/>
      <c r="AM39" s="20" t="s">
        <v>336</v>
      </c>
    </row>
    <row r="40" spans="1:39" s="7" customFormat="1" ht="45" customHeight="1" x14ac:dyDescent="0.2">
      <c r="A40" s="20">
        <v>21</v>
      </c>
      <c r="B40" s="20" t="s">
        <v>63</v>
      </c>
      <c r="C40" s="21" t="s">
        <v>87</v>
      </c>
      <c r="D40" s="22" t="s">
        <v>105</v>
      </c>
      <c r="E40" s="23" t="s">
        <v>106</v>
      </c>
      <c r="F40" s="20" t="str">
        <f t="shared" si="9"/>
        <v>23 años 0 meses 2 días</v>
      </c>
      <c r="G40" s="24">
        <v>0.67500000000000004</v>
      </c>
      <c r="H40" s="20" t="str">
        <f t="shared" si="5"/>
        <v>54 años 0 meses 2 días</v>
      </c>
      <c r="I40" s="20" t="str">
        <f t="shared" si="6"/>
        <v>8 años 10 meses 7 días</v>
      </c>
      <c r="J40" s="172"/>
      <c r="K40" s="173"/>
      <c r="L40" s="26">
        <v>27563.58</v>
      </c>
      <c r="M40" s="26">
        <f t="shared" si="3"/>
        <v>18605.416500000003</v>
      </c>
      <c r="N40" s="27"/>
      <c r="O40" s="27" t="s">
        <v>42</v>
      </c>
      <c r="P40" s="26" t="s">
        <v>107</v>
      </c>
      <c r="Q40" s="28">
        <v>36892</v>
      </c>
      <c r="R40" s="28">
        <v>45294</v>
      </c>
      <c r="S40" s="28">
        <v>25569</v>
      </c>
      <c r="T40" s="28">
        <v>42062</v>
      </c>
      <c r="U40" s="28"/>
      <c r="V40" s="28"/>
      <c r="W40" s="28"/>
      <c r="X40" s="28"/>
      <c r="Y40" s="1"/>
      <c r="Z40" s="1"/>
      <c r="AA40" s="29"/>
      <c r="AB40" s="30" t="s">
        <v>35</v>
      </c>
      <c r="AC40" s="31" t="s">
        <v>36</v>
      </c>
      <c r="AD40" s="32" t="s">
        <v>37</v>
      </c>
      <c r="AF40" s="30"/>
      <c r="AG40" s="30"/>
      <c r="AH40" s="30"/>
      <c r="AJ40" s="30"/>
      <c r="AK40" s="30"/>
      <c r="AL40" s="30"/>
      <c r="AM40" s="20" t="s">
        <v>336</v>
      </c>
    </row>
    <row r="41" spans="1:39" s="7" customFormat="1" ht="45" customHeight="1" x14ac:dyDescent="0.2">
      <c r="A41" s="20">
        <v>22</v>
      </c>
      <c r="B41" s="20" t="s">
        <v>63</v>
      </c>
      <c r="C41" s="21" t="s">
        <v>87</v>
      </c>
      <c r="D41" s="22" t="s">
        <v>108</v>
      </c>
      <c r="E41" s="23" t="s">
        <v>109</v>
      </c>
      <c r="F41" s="20" t="str">
        <f t="shared" si="9"/>
        <v>31 años 10 meses 2 días</v>
      </c>
      <c r="G41" s="24">
        <v>0.91</v>
      </c>
      <c r="H41" s="20" t="str">
        <f t="shared" si="5"/>
        <v>49 años 2 meses 29 días</v>
      </c>
      <c r="I41" s="20" t="str">
        <f t="shared" si="6"/>
        <v>6 años 10 meses 2 días</v>
      </c>
      <c r="J41" s="172"/>
      <c r="K41" s="173"/>
      <c r="L41" s="26">
        <v>27563.58</v>
      </c>
      <c r="M41" s="26">
        <f t="shared" si="3"/>
        <v>25082.857800000002</v>
      </c>
      <c r="N41" s="27"/>
      <c r="O41" s="27" t="s">
        <v>42</v>
      </c>
      <c r="P41" s="26" t="s">
        <v>110</v>
      </c>
      <c r="Q41" s="28">
        <v>33664</v>
      </c>
      <c r="R41" s="28">
        <v>45294</v>
      </c>
      <c r="S41" s="28">
        <v>27307</v>
      </c>
      <c r="T41" s="28">
        <v>42795</v>
      </c>
      <c r="U41" s="28"/>
      <c r="V41" s="28"/>
      <c r="W41" s="28"/>
      <c r="X41" s="28"/>
      <c r="Y41" s="1"/>
      <c r="Z41" s="1"/>
      <c r="AA41" s="29"/>
      <c r="AB41" s="30" t="s">
        <v>48</v>
      </c>
      <c r="AC41" s="31" t="s">
        <v>36</v>
      </c>
      <c r="AD41" s="32" t="s">
        <v>37</v>
      </c>
      <c r="AF41" s="30"/>
      <c r="AG41" s="30"/>
      <c r="AH41" s="30"/>
      <c r="AJ41" s="30"/>
      <c r="AK41" s="30"/>
      <c r="AL41" s="30"/>
      <c r="AM41" s="20" t="s">
        <v>336</v>
      </c>
    </row>
    <row r="42" spans="1:39" s="7" customFormat="1" ht="45" customHeight="1" x14ac:dyDescent="0.2">
      <c r="A42" s="20">
        <v>23</v>
      </c>
      <c r="B42" s="20"/>
      <c r="C42" s="21" t="s">
        <v>111</v>
      </c>
      <c r="D42" s="22" t="s">
        <v>112</v>
      </c>
      <c r="E42" s="23" t="s">
        <v>113</v>
      </c>
      <c r="F42" s="20" t="str">
        <f>DATEDIF(Q42,R42,"y") + DATEDIF(U42,V42,"y") + DATEDIF(W42,X42,"y") + SUM(AF42) &amp; " años " &amp; DATEDIF(Q42,R42,"ym") + DATEDIF(U42,V42,"ym") + DATEDIF(W42,X42,"ym") + SUM(AG42) - SUM(AK42) &amp; " meses " &amp; DATEDIF(Q42,R42,"md") + DATEDIF(U42,V42,"md") + DATEDIF(W42,X42,"md") - SUM(AL42) &amp; " días"</f>
        <v>35 años 3 meses 21 días</v>
      </c>
      <c r="G42" s="24">
        <v>1</v>
      </c>
      <c r="H42" s="20" t="str">
        <f>DATEDIF(S42,R42,"y") &amp; " años " &amp; DATEDIF(S42,R42,"ym") &amp; " meses " &amp; DATEDIF(S42,R42,"md") &amp; " días"</f>
        <v>54 años 10 meses 21 días</v>
      </c>
      <c r="I42" s="20" t="str">
        <f>DATEDIF(T42,R42,"y") &amp; " años " &amp; DATEDIF(T42,R42,"ym") &amp; " meses " &amp; DATEDIF(T42,R42,"md") &amp; " días"</f>
        <v>7 años 10 meses 2 días</v>
      </c>
      <c r="J42" s="172"/>
      <c r="K42" s="173"/>
      <c r="L42" s="26">
        <v>27563.58</v>
      </c>
      <c r="M42" s="26">
        <f>L42*G42</f>
        <v>27563.58</v>
      </c>
      <c r="N42" s="27" t="s">
        <v>32</v>
      </c>
      <c r="O42" s="27" t="s">
        <v>33</v>
      </c>
      <c r="P42" s="26" t="s">
        <v>114</v>
      </c>
      <c r="Q42" s="28">
        <v>32399</v>
      </c>
      <c r="R42" s="28">
        <v>45294</v>
      </c>
      <c r="S42" s="28">
        <v>25247</v>
      </c>
      <c r="T42" s="28">
        <v>42430</v>
      </c>
      <c r="U42" s="28"/>
      <c r="V42" s="28"/>
      <c r="W42" s="28"/>
      <c r="X42" s="28"/>
      <c r="Y42" s="1"/>
      <c r="Z42" s="1"/>
      <c r="AA42" s="29"/>
      <c r="AB42" s="30" t="s">
        <v>35</v>
      </c>
      <c r="AC42" s="31" t="s">
        <v>36</v>
      </c>
      <c r="AD42" s="32" t="s">
        <v>37</v>
      </c>
      <c r="AF42" s="30"/>
      <c r="AG42" s="30"/>
      <c r="AH42" s="30"/>
      <c r="AJ42" s="30"/>
      <c r="AK42" s="30"/>
      <c r="AL42" s="30"/>
      <c r="AM42" s="20" t="s">
        <v>337</v>
      </c>
    </row>
    <row r="43" spans="1:39" s="7" customFormat="1" ht="45" customHeight="1" x14ac:dyDescent="0.2">
      <c r="A43" s="20">
        <v>24</v>
      </c>
      <c r="B43" s="20"/>
      <c r="C43" s="21" t="s">
        <v>111</v>
      </c>
      <c r="D43" s="22" t="s">
        <v>115</v>
      </c>
      <c r="E43" s="23" t="s">
        <v>116</v>
      </c>
      <c r="F43" s="20" t="str">
        <f>DATEDIF(Q43,R43,"y") + DATEDIF(U43,V43,"y") + DATEDIF(W43,X43,"y") + SUM(AF43) &amp; " años " &amp; DATEDIF(Q43,R43,"ym") + DATEDIF(U43,V43,"ym") + DATEDIF(W43,X43,"ym") + SUM(AG43) - SUM(AK43) &amp; " meses " &amp; DATEDIF(Q43,R43,"md") + DATEDIF(U43,V43,"md") + DATEDIF(W43,X43,"md") - SUM(AL43) &amp; " días"</f>
        <v>34 años 7 meses 19 días</v>
      </c>
      <c r="G43" s="24">
        <v>1</v>
      </c>
      <c r="H43" s="20" t="str">
        <f>DATEDIF(S43,R43,"y") &amp; " años " &amp; DATEDIF(S43,R43,"ym") &amp; " meses " &amp; DATEDIF(S43,R43,"md") &amp; " días"</f>
        <v>55 años 9 meses 14 días</v>
      </c>
      <c r="I43" s="20" t="str">
        <f>DATEDIF(T43,R43,"y") &amp; " años " &amp; DATEDIF(T43,R43,"ym") &amp; " meses " &amp; DATEDIF(T43,R43,"md") &amp; " días"</f>
        <v>10 años 3 meses 26 días</v>
      </c>
      <c r="J43" s="172" t="s">
        <v>13</v>
      </c>
      <c r="K43" s="173"/>
      <c r="L43" s="26">
        <v>27563.58</v>
      </c>
      <c r="M43" s="26">
        <f>L43*G43</f>
        <v>27563.58</v>
      </c>
      <c r="N43" s="27" t="s">
        <v>32</v>
      </c>
      <c r="O43" s="27" t="s">
        <v>33</v>
      </c>
      <c r="P43" s="26" t="s">
        <v>117</v>
      </c>
      <c r="Q43" s="28">
        <v>32643</v>
      </c>
      <c r="R43" s="28">
        <v>45294</v>
      </c>
      <c r="S43" s="28">
        <v>24917</v>
      </c>
      <c r="T43" s="28">
        <v>41525</v>
      </c>
      <c r="U43" s="28"/>
      <c r="V43" s="28"/>
      <c r="W43" s="28"/>
      <c r="X43" s="28"/>
      <c r="Y43" s="1"/>
      <c r="Z43" s="1"/>
      <c r="AA43" s="29"/>
      <c r="AB43" s="30" t="s">
        <v>35</v>
      </c>
      <c r="AC43" s="31" t="s">
        <v>36</v>
      </c>
      <c r="AD43" s="32" t="s">
        <v>37</v>
      </c>
      <c r="AF43" s="30"/>
      <c r="AG43" s="30"/>
      <c r="AH43" s="30"/>
      <c r="AJ43" s="30"/>
      <c r="AK43" s="30"/>
      <c r="AL43" s="30"/>
      <c r="AM43" s="20" t="s">
        <v>337</v>
      </c>
    </row>
    <row r="44" spans="1:39" s="7" customFormat="1" ht="45" customHeight="1" x14ac:dyDescent="0.2">
      <c r="A44" s="20">
        <v>25</v>
      </c>
      <c r="B44" s="20"/>
      <c r="C44" s="21" t="s">
        <v>118</v>
      </c>
      <c r="D44" s="22" t="s">
        <v>119</v>
      </c>
      <c r="E44" s="23" t="s">
        <v>120</v>
      </c>
      <c r="F44" s="20" t="str">
        <f>DATEDIF(Q44,R44,"y") + DATEDIF(U44,V44,"y") + DATEDIF(W44,X44,"y") + SUM(AF44) &amp; " años " &amp; DATEDIF(Q44,R44,"ym") + DATEDIF(U44,V44,"ym") + DATEDIF(W44,X44,"ym") + SUM(AG44) - SUM(AK44) &amp; " meses " &amp; DATEDIF(Q44,R44,"md") + DATEDIF(U44,V44,"md") + DATEDIF(W44,X44,"md") - SUM(AL44) &amp; " días"</f>
        <v>23 años 7 meses 12 días</v>
      </c>
      <c r="G44" s="24">
        <v>0.7</v>
      </c>
      <c r="H44" s="20" t="str">
        <f>DATEDIF(S44,R44,"y") &amp; " años " &amp; DATEDIF(S44,R44,"ym") &amp; " meses " &amp; DATEDIF(S44,R44,"md") &amp; " días"</f>
        <v>40 años 10 meses 29 días</v>
      </c>
      <c r="I44" s="20" t="str">
        <f>DATEDIF(T44,R44,"y") &amp; " años " &amp; DATEDIF(T44,R44,"ym") &amp; " meses " &amp; DATEDIF(T44,R44,"md") &amp; " días"</f>
        <v>4 años 1 meses 24 días</v>
      </c>
      <c r="J44" s="172"/>
      <c r="K44" s="173"/>
      <c r="L44" s="26">
        <v>25039.85</v>
      </c>
      <c r="M44" s="26">
        <f>L44*G44</f>
        <v>17527.894999999997</v>
      </c>
      <c r="N44" s="27" t="s">
        <v>80</v>
      </c>
      <c r="O44" s="27" t="s">
        <v>33</v>
      </c>
      <c r="P44" s="26" t="s">
        <v>121</v>
      </c>
      <c r="Q44" s="28">
        <v>36416</v>
      </c>
      <c r="R44" s="28">
        <v>45041</v>
      </c>
      <c r="S44" s="28">
        <v>30098</v>
      </c>
      <c r="T44" s="28">
        <v>43525</v>
      </c>
      <c r="U44" s="28"/>
      <c r="V44" s="28"/>
      <c r="W44" s="28"/>
      <c r="X44" s="28"/>
      <c r="Y44" s="1"/>
      <c r="Z44" s="1"/>
      <c r="AA44" s="29"/>
      <c r="AB44" s="30" t="s">
        <v>35</v>
      </c>
      <c r="AC44" s="31" t="s">
        <v>36</v>
      </c>
      <c r="AD44" s="32" t="s">
        <v>37</v>
      </c>
      <c r="AF44" s="30"/>
      <c r="AG44" s="30"/>
      <c r="AH44" s="30"/>
      <c r="AJ44" s="30"/>
      <c r="AK44" s="30"/>
      <c r="AL44" s="30"/>
      <c r="AM44" s="20" t="s">
        <v>338</v>
      </c>
    </row>
    <row r="45" spans="1:39" s="7" customFormat="1" ht="45" customHeight="1" x14ac:dyDescent="0.2">
      <c r="A45" s="20">
        <v>26</v>
      </c>
      <c r="B45" s="20"/>
      <c r="C45" s="21" t="s">
        <v>122</v>
      </c>
      <c r="D45" s="22" t="s">
        <v>123</v>
      </c>
      <c r="E45" s="23" t="s">
        <v>124</v>
      </c>
      <c r="F45" s="20" t="str">
        <f t="shared" ref="F45:F61" si="10">DATEDIF(Q45,R45,"y") + DATEDIF(U45,V45,"y") + DATEDIF(W45,X45,"y") + SUM(AF45) &amp; " años " &amp; DATEDIF(Q45,R45,"ym") + DATEDIF(U45,V45,"ym") + DATEDIF(W45,X45,"ym") + SUM(AG45) - SUM(AK45) &amp; " meses " &amp; DATEDIF(Q45,R45,"md") + DATEDIF(U45,V45,"md") + DATEDIF(W45,X45,"md") - SUM(AL45) &amp; " días"</f>
        <v>37 años 5 meses 25 días</v>
      </c>
      <c r="G45" s="24">
        <v>1</v>
      </c>
      <c r="H45" s="20" t="str">
        <f t="shared" ref="H45:H61" si="11">DATEDIF(S45,R45,"y") &amp; " años " &amp; DATEDIF(S45,R45,"ym") &amp; " meses " &amp; DATEDIF(S45,R45,"md") &amp; " días"</f>
        <v>59 años 11 meses 10 días</v>
      </c>
      <c r="I45" s="20" t="str">
        <f t="shared" ref="I45:I61" si="12">DATEDIF(T45,R45,"y") &amp; " años " &amp; DATEDIF(T45,R45,"ym") &amp; " meses " &amp; DATEDIF(T45,R45,"md") &amp; " días"</f>
        <v>8 años 10 meses 7 días</v>
      </c>
      <c r="J45" s="172"/>
      <c r="K45" s="173"/>
      <c r="L45" s="26">
        <v>25039.85</v>
      </c>
      <c r="M45" s="26">
        <f t="shared" ref="M45:M61" si="13">L45*G45</f>
        <v>25039.85</v>
      </c>
      <c r="N45" s="27" t="s">
        <v>32</v>
      </c>
      <c r="O45" s="27" t="s">
        <v>33</v>
      </c>
      <c r="P45" s="26" t="s">
        <v>125</v>
      </c>
      <c r="Q45" s="28">
        <v>31602</v>
      </c>
      <c r="R45" s="28">
        <v>45294</v>
      </c>
      <c r="S45" s="28">
        <v>23400</v>
      </c>
      <c r="T45" s="28">
        <v>42062</v>
      </c>
      <c r="U45" s="28"/>
      <c r="V45" s="28"/>
      <c r="W45" s="28"/>
      <c r="X45" s="28"/>
      <c r="Y45" s="1"/>
      <c r="Z45" s="1"/>
      <c r="AA45" s="29"/>
      <c r="AB45" s="30" t="s">
        <v>35</v>
      </c>
      <c r="AC45" s="31" t="s">
        <v>36</v>
      </c>
      <c r="AD45" s="32" t="s">
        <v>37</v>
      </c>
      <c r="AF45" s="30"/>
      <c r="AG45" s="30"/>
      <c r="AH45" s="30"/>
      <c r="AJ45" s="30"/>
      <c r="AK45" s="30"/>
      <c r="AL45" s="30"/>
      <c r="AM45" s="20" t="s">
        <v>337</v>
      </c>
    </row>
    <row r="46" spans="1:39" s="7" customFormat="1" ht="45" customHeight="1" x14ac:dyDescent="0.2">
      <c r="A46" s="20">
        <v>27</v>
      </c>
      <c r="B46" s="20" t="s">
        <v>67</v>
      </c>
      <c r="C46" s="21" t="s">
        <v>122</v>
      </c>
      <c r="D46" s="22" t="s">
        <v>126</v>
      </c>
      <c r="E46" s="23" t="s">
        <v>127</v>
      </c>
      <c r="F46" s="20" t="str">
        <f t="shared" ref="F46" si="14">DATEDIF(Q46,R46,"y") + DATEDIF(U46,V46,"y") + DATEDIF(W46,X46,"y") + SUM(AF46) &amp; " años " &amp; DATEDIF(Q46,R46,"ym") + DATEDIF(U46,V46,"ym") + DATEDIF(W46,X46,"ym") + SUM(AG46) - SUM(AK46) &amp; " meses " &amp; DATEDIF(Q46,R46,"md") + DATEDIF(U46,V46,"md") + DATEDIF(W46,X46,"md") - SUM(AL46) &amp; " días"</f>
        <v>26 años 4 meses 2 días</v>
      </c>
      <c r="G46" s="24">
        <v>1</v>
      </c>
      <c r="H46" s="20" t="str">
        <f t="shared" si="11"/>
        <v>50 años 0 meses 10 días</v>
      </c>
      <c r="I46" s="20" t="str">
        <f t="shared" si="12"/>
        <v>5 años 10 meses 7 días</v>
      </c>
      <c r="J46" s="172"/>
      <c r="K46" s="173"/>
      <c r="L46" s="26">
        <v>25039.85</v>
      </c>
      <c r="M46" s="26">
        <f t="shared" si="13"/>
        <v>25039.85</v>
      </c>
      <c r="N46" s="27" t="s">
        <v>32</v>
      </c>
      <c r="O46" s="27" t="s">
        <v>33</v>
      </c>
      <c r="P46" s="26" t="s">
        <v>128</v>
      </c>
      <c r="Q46" s="28">
        <v>35674</v>
      </c>
      <c r="R46" s="28">
        <v>45294</v>
      </c>
      <c r="S46" s="28">
        <v>27022</v>
      </c>
      <c r="T46" s="28">
        <v>43158</v>
      </c>
      <c r="U46" s="28"/>
      <c r="V46" s="28"/>
      <c r="W46" s="28"/>
      <c r="X46" s="28"/>
      <c r="Y46" s="1"/>
      <c r="Z46" s="1"/>
      <c r="AA46" s="29"/>
      <c r="AB46" s="30" t="s">
        <v>129</v>
      </c>
      <c r="AC46" s="31" t="s">
        <v>36</v>
      </c>
      <c r="AD46" s="32" t="s">
        <v>37</v>
      </c>
      <c r="AF46" s="30"/>
      <c r="AG46" s="30"/>
      <c r="AH46" s="30"/>
      <c r="AJ46" s="30"/>
      <c r="AK46" s="30"/>
      <c r="AL46" s="30"/>
      <c r="AM46" s="20" t="s">
        <v>337</v>
      </c>
    </row>
    <row r="47" spans="1:39" s="7" customFormat="1" ht="45" customHeight="1" x14ac:dyDescent="0.2">
      <c r="A47" s="20">
        <v>28</v>
      </c>
      <c r="B47" s="20"/>
      <c r="C47" s="21" t="s">
        <v>130</v>
      </c>
      <c r="D47" s="22" t="s">
        <v>131</v>
      </c>
      <c r="E47" s="23" t="s">
        <v>132</v>
      </c>
      <c r="F47" s="20" t="str">
        <f t="shared" ref="F47:F48" si="15">DATEDIF(Q47,R47,"y") + DATEDIF(U47,V47,"y") + DATEDIF(W47,X47,"y") + SUM(AF47) &amp; " años " &amp; DATEDIF(Q47,R47,"ym") + DATEDIF(U47,V47,"ym") + DATEDIF(W47,X47,"ym") + SUM(AG47) - SUM(AK47) &amp; " meses " &amp; DATEDIF(Q47,R47,"md") + DATEDIF(U47,V47,"md") + DATEDIF(W47,X47,"md") - SUM(AL47) &amp; " días"</f>
        <v>22 años 1 meses 26 días</v>
      </c>
      <c r="G47" s="24">
        <v>0.65</v>
      </c>
      <c r="H47" s="20" t="str">
        <f t="shared" si="11"/>
        <v>40 años 7 meses 1 días</v>
      </c>
      <c r="I47" s="20" t="str">
        <f t="shared" si="12"/>
        <v>6 años 0 meses 8 días</v>
      </c>
      <c r="J47" s="172"/>
      <c r="K47" s="173"/>
      <c r="L47" s="26">
        <v>23401.72</v>
      </c>
      <c r="M47" s="26">
        <f t="shared" si="13"/>
        <v>15211.118</v>
      </c>
      <c r="N47" s="27" t="s">
        <v>80</v>
      </c>
      <c r="O47" s="27" t="s">
        <v>33</v>
      </c>
      <c r="P47" s="26" t="s">
        <v>133</v>
      </c>
      <c r="Q47" s="28">
        <v>36536</v>
      </c>
      <c r="R47" s="28">
        <v>44629</v>
      </c>
      <c r="S47" s="28">
        <v>29806</v>
      </c>
      <c r="T47" s="28">
        <v>42430</v>
      </c>
      <c r="U47" s="28"/>
      <c r="V47" s="28"/>
      <c r="W47" s="28"/>
      <c r="X47" s="28"/>
      <c r="Y47" s="1"/>
      <c r="Z47" s="1"/>
      <c r="AA47" s="29"/>
      <c r="AB47" s="30" t="s">
        <v>134</v>
      </c>
      <c r="AC47" s="31" t="s">
        <v>36</v>
      </c>
      <c r="AD47" s="32" t="s">
        <v>37</v>
      </c>
      <c r="AF47" s="30"/>
      <c r="AG47" s="30"/>
      <c r="AH47" s="30"/>
      <c r="AJ47" s="30"/>
      <c r="AK47" s="30"/>
      <c r="AL47" s="30"/>
      <c r="AM47" s="20" t="s">
        <v>338</v>
      </c>
    </row>
    <row r="48" spans="1:39" s="7" customFormat="1" ht="45" customHeight="1" x14ac:dyDescent="0.2">
      <c r="A48" s="20">
        <v>29</v>
      </c>
      <c r="B48" s="20"/>
      <c r="C48" s="21" t="s">
        <v>130</v>
      </c>
      <c r="D48" s="22" t="s">
        <v>135</v>
      </c>
      <c r="E48" s="23" t="s">
        <v>136</v>
      </c>
      <c r="F48" s="20" t="str">
        <f t="shared" si="15"/>
        <v>22 años 3 meses 16 días</v>
      </c>
      <c r="G48" s="24">
        <v>0.65</v>
      </c>
      <c r="H48" s="20" t="str">
        <f t="shared" si="11"/>
        <v>54 años 1 meses 13 días</v>
      </c>
      <c r="I48" s="20" t="str">
        <f t="shared" si="12"/>
        <v>3 años 10 meses 16 días</v>
      </c>
      <c r="J48" s="172"/>
      <c r="K48" s="173"/>
      <c r="L48" s="26">
        <v>23826.3</v>
      </c>
      <c r="M48" s="26">
        <f t="shared" si="13"/>
        <v>15487.094999999999</v>
      </c>
      <c r="N48" s="27" t="s">
        <v>80</v>
      </c>
      <c r="O48" s="27" t="s">
        <v>33</v>
      </c>
      <c r="P48" s="26" t="s">
        <v>137</v>
      </c>
      <c r="Q48" s="28">
        <v>36800</v>
      </c>
      <c r="R48" s="28">
        <v>44943</v>
      </c>
      <c r="S48" s="28">
        <v>25176</v>
      </c>
      <c r="T48" s="28">
        <v>43525</v>
      </c>
      <c r="U48" s="28"/>
      <c r="V48" s="28"/>
      <c r="W48" s="28"/>
      <c r="X48" s="28"/>
      <c r="Y48" s="1"/>
      <c r="Z48" s="1"/>
      <c r="AA48" s="29"/>
      <c r="AB48" s="30" t="s">
        <v>134</v>
      </c>
      <c r="AC48" s="31" t="s">
        <v>36</v>
      </c>
      <c r="AD48" s="32" t="s">
        <v>37</v>
      </c>
      <c r="AF48" s="30"/>
      <c r="AG48" s="30"/>
      <c r="AH48" s="30"/>
      <c r="AJ48" s="30"/>
      <c r="AK48" s="30"/>
      <c r="AL48" s="30"/>
      <c r="AM48" s="20" t="s">
        <v>338</v>
      </c>
    </row>
    <row r="49" spans="1:43" s="7" customFormat="1" ht="45" customHeight="1" x14ac:dyDescent="0.2">
      <c r="A49" s="20">
        <v>30</v>
      </c>
      <c r="B49" s="20" t="s">
        <v>67</v>
      </c>
      <c r="C49" s="21" t="s">
        <v>130</v>
      </c>
      <c r="D49" s="22" t="s">
        <v>138</v>
      </c>
      <c r="E49" s="23" t="s">
        <v>139</v>
      </c>
      <c r="F49" s="20" t="str">
        <f t="shared" ref="F49" si="16">DATEDIF(Q49,R49,"y") + DATEDIF(U49,V49,"y") + DATEDIF(W49,X49,"y") + SUM(AF49) &amp; " años " &amp; DATEDIF(Q49,R49,"ym") + DATEDIF(U49,V49,"ym") + DATEDIF(W49,X49,"ym") + SUM(AG49) - SUM(AK49) &amp; " meses " &amp; DATEDIF(Q49,R49,"md") + DATEDIF(U49,V49,"md") + DATEDIF(W49,X49,"md") - SUM(AL49) &amp; " días"</f>
        <v>23 años 0 meses 2 días</v>
      </c>
      <c r="G49" s="24">
        <v>0.67500000000000004</v>
      </c>
      <c r="H49" s="20" t="str">
        <f t="shared" si="11"/>
        <v>43 años 3 meses 6 días</v>
      </c>
      <c r="I49" s="20" t="str">
        <f t="shared" si="12"/>
        <v>4 años 4 meses 2 días</v>
      </c>
      <c r="J49" s="172"/>
      <c r="K49" s="173"/>
      <c r="L49" s="26">
        <v>15600</v>
      </c>
      <c r="M49" s="26">
        <f t="shared" si="13"/>
        <v>10530</v>
      </c>
      <c r="N49" s="27" t="s">
        <v>80</v>
      </c>
      <c r="O49" s="27" t="s">
        <v>33</v>
      </c>
      <c r="P49" s="26" t="s">
        <v>140</v>
      </c>
      <c r="Q49" s="28">
        <v>35977</v>
      </c>
      <c r="R49" s="28">
        <v>44380</v>
      </c>
      <c r="S49" s="28">
        <v>28576</v>
      </c>
      <c r="T49" s="28">
        <v>42795</v>
      </c>
      <c r="U49" s="28"/>
      <c r="V49" s="28"/>
      <c r="W49" s="28"/>
      <c r="X49" s="28"/>
      <c r="Y49" s="1"/>
      <c r="Z49" s="1"/>
      <c r="AA49" s="29"/>
      <c r="AB49" s="30" t="s">
        <v>134</v>
      </c>
      <c r="AC49" s="31" t="s">
        <v>36</v>
      </c>
      <c r="AD49" s="32" t="s">
        <v>37</v>
      </c>
      <c r="AF49" s="30"/>
      <c r="AG49" s="30"/>
      <c r="AH49" s="30"/>
      <c r="AJ49" s="30"/>
      <c r="AK49" s="30"/>
      <c r="AL49" s="30"/>
      <c r="AM49" s="20" t="s">
        <v>338</v>
      </c>
    </row>
    <row r="50" spans="1:43" s="7" customFormat="1" ht="45" customHeight="1" x14ac:dyDescent="0.2">
      <c r="A50" s="20">
        <v>31</v>
      </c>
      <c r="B50" s="20"/>
      <c r="C50" s="21" t="s">
        <v>130</v>
      </c>
      <c r="D50" s="22" t="s">
        <v>141</v>
      </c>
      <c r="E50" s="23" t="s">
        <v>142</v>
      </c>
      <c r="F50" s="20" t="str">
        <f>DATEDIF(Q50,R50,"y") + DATEDIF(U50,V50,"y") + DATEDIF(W50,X50,"y") + SUM(AF50) &amp; " años " &amp; DATEDIF(Q50,R50,"ym") + DATEDIF(U50,V50,"ym") + DATEDIF(W50,X50,"ym") + SUM(AG50) - SUM(AK50) &amp; " meses " &amp; DATEDIF(Q50,R50,"md") + DATEDIF(U50,V50,"md") + DATEDIF(W50,X50,"md") - SUM(AL50) &amp; " días"</f>
        <v>21 años 5 meses 26 días</v>
      </c>
      <c r="G50" s="24">
        <v>0.625</v>
      </c>
      <c r="H50" s="20" t="str">
        <f t="shared" si="11"/>
        <v>37 años 7 meses 2 días</v>
      </c>
      <c r="I50" s="20" t="str">
        <f t="shared" si="12"/>
        <v>11 años 0 meses 17 días</v>
      </c>
      <c r="J50" s="172" t="s">
        <v>13</v>
      </c>
      <c r="K50" s="173"/>
      <c r="L50" s="26">
        <v>25039.85</v>
      </c>
      <c r="M50" s="26">
        <f>L50*G50</f>
        <v>15649.90625</v>
      </c>
      <c r="N50" s="27" t="s">
        <v>143</v>
      </c>
      <c r="O50" s="27" t="s">
        <v>42</v>
      </c>
      <c r="P50" s="26" t="s">
        <v>144</v>
      </c>
      <c r="Q50" s="28">
        <v>37154</v>
      </c>
      <c r="R50" s="28">
        <v>45003</v>
      </c>
      <c r="S50" s="28">
        <v>31275</v>
      </c>
      <c r="T50" s="28">
        <v>40969</v>
      </c>
      <c r="U50" s="28"/>
      <c r="V50" s="28"/>
      <c r="W50" s="28"/>
      <c r="X50" s="28"/>
      <c r="Y50" s="1"/>
      <c r="Z50" s="1"/>
      <c r="AA50" s="29"/>
      <c r="AB50" s="30" t="s">
        <v>134</v>
      </c>
      <c r="AC50" s="31" t="s">
        <v>36</v>
      </c>
      <c r="AD50" s="32" t="s">
        <v>37</v>
      </c>
      <c r="AF50" s="30"/>
      <c r="AG50" s="30"/>
      <c r="AH50" s="30"/>
      <c r="AJ50" s="30"/>
      <c r="AK50" s="30"/>
      <c r="AL50" s="30"/>
      <c r="AM50" s="20" t="s">
        <v>338</v>
      </c>
    </row>
    <row r="51" spans="1:43" s="7" customFormat="1" ht="45" customHeight="1" x14ac:dyDescent="0.2">
      <c r="A51" s="20">
        <v>32</v>
      </c>
      <c r="B51" s="20"/>
      <c r="C51" s="21" t="s">
        <v>145</v>
      </c>
      <c r="D51" s="22" t="s">
        <v>146</v>
      </c>
      <c r="E51" s="23" t="s">
        <v>147</v>
      </c>
      <c r="F51" s="20" t="str">
        <f t="shared" si="10"/>
        <v>20 años 8 meses 2 días</v>
      </c>
      <c r="G51" s="24">
        <v>1</v>
      </c>
      <c r="H51" s="20" t="str">
        <f t="shared" si="11"/>
        <v>44 años 0 meses 24 días</v>
      </c>
      <c r="I51" s="20" t="str">
        <f t="shared" si="12"/>
        <v>6 años 10 meses 2 días</v>
      </c>
      <c r="J51" s="172"/>
      <c r="K51" s="173"/>
      <c r="L51" s="26">
        <v>23826.3</v>
      </c>
      <c r="M51" s="26">
        <f t="shared" si="13"/>
        <v>23826.3</v>
      </c>
      <c r="N51" s="27" t="s">
        <v>32</v>
      </c>
      <c r="O51" s="27" t="s">
        <v>33</v>
      </c>
      <c r="P51" s="26" t="s">
        <v>148</v>
      </c>
      <c r="Q51" s="28">
        <v>37742</v>
      </c>
      <c r="R51" s="28">
        <v>45294</v>
      </c>
      <c r="S51" s="28">
        <v>29199</v>
      </c>
      <c r="T51" s="28">
        <v>42795</v>
      </c>
      <c r="U51" s="28"/>
      <c r="V51" s="28"/>
      <c r="W51" s="28"/>
      <c r="X51" s="28"/>
      <c r="Y51" s="1"/>
      <c r="Z51" s="1"/>
      <c r="AA51" s="29"/>
      <c r="AB51" s="30" t="s">
        <v>35</v>
      </c>
      <c r="AC51" s="31" t="s">
        <v>36</v>
      </c>
      <c r="AD51" s="32" t="s">
        <v>37</v>
      </c>
      <c r="AF51" s="30"/>
      <c r="AG51" s="30"/>
      <c r="AH51" s="30"/>
      <c r="AJ51" s="30"/>
      <c r="AK51" s="30"/>
      <c r="AL51" s="30"/>
      <c r="AM51" s="20" t="s">
        <v>337</v>
      </c>
    </row>
    <row r="52" spans="1:43" s="7" customFormat="1" ht="45" customHeight="1" x14ac:dyDescent="0.2">
      <c r="A52" s="20">
        <v>33</v>
      </c>
      <c r="B52" s="20"/>
      <c r="C52" s="21" t="s">
        <v>149</v>
      </c>
      <c r="D52" s="22" t="s">
        <v>150</v>
      </c>
      <c r="E52" s="23" t="s">
        <v>151</v>
      </c>
      <c r="F52" s="20" t="str">
        <f t="shared" ref="F52:F58" si="17">DATEDIF(Q52,R52,"y") + DATEDIF(U52,V52,"y") + DATEDIF(W52,X52,"y") + SUM(AF52) &amp; " años " &amp; DATEDIF(Q52,R52,"ym") + DATEDIF(U52,V52,"ym") + DATEDIF(W52,X52,"ym") + SUM(AG52) - SUM(AK52) &amp; " meses " &amp; DATEDIF(Q52,R52,"md") + DATEDIF(U52,V52,"md") + DATEDIF(W52,X52,"md") - SUM(AL52) &amp; " días"</f>
        <v>22 años 8 meses 15 días</v>
      </c>
      <c r="G52" s="24">
        <v>0.67500000000000004</v>
      </c>
      <c r="H52" s="20" t="str">
        <f t="shared" si="11"/>
        <v>53 años 9 meses 5 días</v>
      </c>
      <c r="I52" s="20" t="str">
        <f t="shared" si="12"/>
        <v>5 años 0 meses 15 días</v>
      </c>
      <c r="J52" s="172"/>
      <c r="K52" s="173"/>
      <c r="L52" s="26">
        <v>20900.259999999998</v>
      </c>
      <c r="M52" s="26">
        <f t="shared" si="13"/>
        <v>14107.675499999999</v>
      </c>
      <c r="N52" s="27" t="s">
        <v>80</v>
      </c>
      <c r="O52" s="27" t="s">
        <v>33</v>
      </c>
      <c r="P52" s="26" t="s">
        <v>152</v>
      </c>
      <c r="Q52" s="28">
        <v>36342</v>
      </c>
      <c r="R52" s="28">
        <v>44636</v>
      </c>
      <c r="S52" s="28">
        <v>25000</v>
      </c>
      <c r="T52" s="28">
        <v>42795</v>
      </c>
      <c r="U52" s="28"/>
      <c r="V52" s="28"/>
      <c r="W52" s="28"/>
      <c r="X52" s="28"/>
      <c r="Y52" s="1"/>
      <c r="Z52" s="1"/>
      <c r="AA52" s="29"/>
      <c r="AB52" s="30" t="s">
        <v>134</v>
      </c>
      <c r="AC52" s="31" t="s">
        <v>36</v>
      </c>
      <c r="AD52" s="32" t="s">
        <v>37</v>
      </c>
      <c r="AF52" s="30"/>
      <c r="AG52" s="30"/>
      <c r="AH52" s="30"/>
      <c r="AJ52" s="30"/>
      <c r="AK52" s="30"/>
      <c r="AL52" s="30"/>
      <c r="AM52" s="20" t="s">
        <v>339</v>
      </c>
    </row>
    <row r="53" spans="1:43" s="7" customFormat="1" ht="45" customHeight="1" x14ac:dyDescent="0.2">
      <c r="A53" s="20">
        <v>34</v>
      </c>
      <c r="B53" s="20"/>
      <c r="C53" s="21" t="s">
        <v>149</v>
      </c>
      <c r="D53" s="22" t="s">
        <v>153</v>
      </c>
      <c r="E53" s="23" t="s">
        <v>154</v>
      </c>
      <c r="F53" s="20" t="str">
        <f t="shared" si="17"/>
        <v>23 años 8 meses 12 días</v>
      </c>
      <c r="G53" s="24">
        <v>0.7</v>
      </c>
      <c r="H53" s="20" t="str">
        <f t="shared" si="11"/>
        <v>53 años 5 meses 5 días</v>
      </c>
      <c r="I53" s="20" t="str">
        <f t="shared" si="12"/>
        <v>4 años 6 meses 10 días</v>
      </c>
      <c r="J53" s="172"/>
      <c r="K53" s="173"/>
      <c r="L53" s="26">
        <v>22588.39</v>
      </c>
      <c r="M53" s="26">
        <f t="shared" si="13"/>
        <v>15811.872999999998</v>
      </c>
      <c r="N53" s="27" t="s">
        <v>80</v>
      </c>
      <c r="O53" s="27" t="s">
        <v>33</v>
      </c>
      <c r="P53" s="26" t="s">
        <v>155</v>
      </c>
      <c r="Q53" s="28">
        <v>36923</v>
      </c>
      <c r="R53" s="28">
        <v>44810</v>
      </c>
      <c r="S53" s="28">
        <v>25294</v>
      </c>
      <c r="T53" s="28">
        <v>43158</v>
      </c>
      <c r="U53" s="28">
        <v>33817</v>
      </c>
      <c r="V53" s="28">
        <v>34585</v>
      </c>
      <c r="W53" s="28"/>
      <c r="X53" s="28"/>
      <c r="Y53" s="1"/>
      <c r="Z53" s="1"/>
      <c r="AA53" s="29"/>
      <c r="AB53" s="30" t="s">
        <v>134</v>
      </c>
      <c r="AC53" s="31" t="s">
        <v>36</v>
      </c>
      <c r="AD53" s="32" t="s">
        <v>37</v>
      </c>
      <c r="AF53" s="30"/>
      <c r="AG53" s="30"/>
      <c r="AH53" s="30"/>
      <c r="AJ53" s="30"/>
      <c r="AK53" s="30"/>
      <c r="AL53" s="30"/>
      <c r="AM53" s="20" t="s">
        <v>339</v>
      </c>
    </row>
    <row r="54" spans="1:43" s="7" customFormat="1" ht="45" customHeight="1" x14ac:dyDescent="0.2">
      <c r="A54" s="20">
        <v>35</v>
      </c>
      <c r="B54" s="20"/>
      <c r="C54" s="21" t="s">
        <v>149</v>
      </c>
      <c r="D54" s="22" t="s">
        <v>156</v>
      </c>
      <c r="E54" s="23" t="s">
        <v>157</v>
      </c>
      <c r="F54" s="20" t="str">
        <f t="shared" si="17"/>
        <v>20 años 0 meses 0 días</v>
      </c>
      <c r="G54" s="24">
        <v>0.6</v>
      </c>
      <c r="H54" s="20" t="str">
        <f t="shared" si="11"/>
        <v>53 años 6 meses 6 días</v>
      </c>
      <c r="I54" s="20" t="str">
        <f t="shared" si="12"/>
        <v>3 años 4 meses 10 días</v>
      </c>
      <c r="J54" s="172"/>
      <c r="K54" s="173"/>
      <c r="L54" s="26">
        <v>22588.39</v>
      </c>
      <c r="M54" s="26">
        <f t="shared" si="13"/>
        <v>13553.034</v>
      </c>
      <c r="N54" s="27" t="s">
        <v>158</v>
      </c>
      <c r="O54" s="27" t="s">
        <v>42</v>
      </c>
      <c r="P54" s="26" t="s">
        <v>159</v>
      </c>
      <c r="Q54" s="28">
        <v>39265</v>
      </c>
      <c r="R54" s="28">
        <v>45114</v>
      </c>
      <c r="S54" s="28">
        <v>25569</v>
      </c>
      <c r="T54" s="28">
        <v>43888</v>
      </c>
      <c r="U54" s="28">
        <v>36283</v>
      </c>
      <c r="V54" s="28">
        <v>37740</v>
      </c>
      <c r="W54" s="28"/>
      <c r="X54" s="28"/>
      <c r="Y54" s="1"/>
      <c r="Z54" s="1"/>
      <c r="AA54" s="29"/>
      <c r="AB54" s="30" t="s">
        <v>134</v>
      </c>
      <c r="AC54" s="31" t="s">
        <v>36</v>
      </c>
      <c r="AD54" s="32" t="s">
        <v>37</v>
      </c>
      <c r="AF54" s="30">
        <v>1</v>
      </c>
      <c r="AG54" s="30">
        <v>1</v>
      </c>
      <c r="AH54" s="30"/>
      <c r="AJ54" s="30"/>
      <c r="AK54" s="30">
        <v>12</v>
      </c>
      <c r="AL54" s="30">
        <v>31</v>
      </c>
      <c r="AM54" s="20" t="s">
        <v>339</v>
      </c>
    </row>
    <row r="55" spans="1:43" s="7" customFormat="1" ht="45" customHeight="1" x14ac:dyDescent="0.2">
      <c r="A55" s="20">
        <v>36</v>
      </c>
      <c r="B55" s="20"/>
      <c r="C55" s="21" t="s">
        <v>149</v>
      </c>
      <c r="D55" s="22" t="s">
        <v>160</v>
      </c>
      <c r="E55" s="23" t="s">
        <v>161</v>
      </c>
      <c r="F55" s="20" t="str">
        <f t="shared" si="17"/>
        <v>20 años 0 meses 1 días</v>
      </c>
      <c r="G55" s="24">
        <v>0.6</v>
      </c>
      <c r="H55" s="20" t="str">
        <f t="shared" si="11"/>
        <v>63 años 4 meses 12 días</v>
      </c>
      <c r="I55" s="20" t="str">
        <f t="shared" si="12"/>
        <v>2 años 7 meses 5 días</v>
      </c>
      <c r="J55" s="172"/>
      <c r="K55" s="173"/>
      <c r="L55" s="26">
        <v>22588.39</v>
      </c>
      <c r="M55" s="26">
        <f t="shared" si="13"/>
        <v>13553.034</v>
      </c>
      <c r="N55" s="27" t="s">
        <v>158</v>
      </c>
      <c r="O55" s="27" t="s">
        <v>42</v>
      </c>
      <c r="P55" s="26" t="s">
        <v>162</v>
      </c>
      <c r="Q55" s="28">
        <v>37895</v>
      </c>
      <c r="R55" s="28">
        <v>45201</v>
      </c>
      <c r="S55" s="28">
        <v>22056</v>
      </c>
      <c r="T55" s="28">
        <v>44254</v>
      </c>
      <c r="U55" s="28"/>
      <c r="V55" s="28"/>
      <c r="W55" s="28"/>
      <c r="X55" s="28"/>
      <c r="Y55" s="1"/>
      <c r="Z55" s="1"/>
      <c r="AA55" s="29"/>
      <c r="AB55" s="30" t="s">
        <v>134</v>
      </c>
      <c r="AC55" s="31" t="s">
        <v>36</v>
      </c>
      <c r="AD55" s="32" t="s">
        <v>37</v>
      </c>
      <c r="AF55" s="30"/>
      <c r="AG55" s="30"/>
      <c r="AH55" s="30"/>
      <c r="AJ55" s="30"/>
      <c r="AK55" s="30"/>
      <c r="AL55" s="30"/>
      <c r="AM55" s="20" t="s">
        <v>339</v>
      </c>
    </row>
    <row r="56" spans="1:43" s="7" customFormat="1" ht="45" customHeight="1" x14ac:dyDescent="0.2">
      <c r="A56" s="20">
        <v>37</v>
      </c>
      <c r="B56" s="20"/>
      <c r="C56" s="21" t="s">
        <v>149</v>
      </c>
      <c r="D56" s="22" t="s">
        <v>163</v>
      </c>
      <c r="E56" s="23" t="s">
        <v>164</v>
      </c>
      <c r="F56" s="20" t="str">
        <f t="shared" si="17"/>
        <v>24 años 9 meses 5 días</v>
      </c>
      <c r="G56" s="24">
        <v>0.72499999999999998</v>
      </c>
      <c r="H56" s="20" t="str">
        <f t="shared" si="11"/>
        <v>44 años 4 meses 20 días</v>
      </c>
      <c r="I56" s="20" t="str">
        <f t="shared" si="12"/>
        <v>7 años 6 meses 18 días</v>
      </c>
      <c r="J56" s="172"/>
      <c r="K56" s="173"/>
      <c r="L56" s="26">
        <v>23826.3</v>
      </c>
      <c r="M56" s="26">
        <f t="shared" si="13"/>
        <v>17274.067499999997</v>
      </c>
      <c r="N56" s="27" t="s">
        <v>158</v>
      </c>
      <c r="O56" s="27" t="s">
        <v>42</v>
      </c>
      <c r="P56" s="26" t="s">
        <v>165</v>
      </c>
      <c r="Q56" s="28">
        <v>36800</v>
      </c>
      <c r="R56" s="28">
        <v>45188</v>
      </c>
      <c r="S56" s="28">
        <v>28975</v>
      </c>
      <c r="T56" s="28">
        <v>42430</v>
      </c>
      <c r="U56" s="28">
        <v>35004</v>
      </c>
      <c r="V56" s="28">
        <v>35661</v>
      </c>
      <c r="W56" s="28"/>
      <c r="X56" s="28"/>
      <c r="Y56" s="1"/>
      <c r="Z56" s="1"/>
      <c r="AA56" s="29"/>
      <c r="AB56" s="30" t="s">
        <v>134</v>
      </c>
      <c r="AC56" s="31" t="s">
        <v>36</v>
      </c>
      <c r="AD56" s="32" t="s">
        <v>37</v>
      </c>
      <c r="AF56" s="30">
        <v>1</v>
      </c>
      <c r="AG56" s="30">
        <v>1</v>
      </c>
      <c r="AH56" s="30"/>
      <c r="AJ56" s="30"/>
      <c r="AK56" s="30">
        <v>12</v>
      </c>
      <c r="AL56" s="30">
        <v>31</v>
      </c>
      <c r="AM56" s="20" t="s">
        <v>339</v>
      </c>
    </row>
    <row r="57" spans="1:43" s="7" customFormat="1" ht="45" customHeight="1" x14ac:dyDescent="0.2">
      <c r="A57" s="20">
        <v>38</v>
      </c>
      <c r="B57" s="20"/>
      <c r="C57" s="21" t="s">
        <v>149</v>
      </c>
      <c r="D57" s="22" t="s">
        <v>166</v>
      </c>
      <c r="E57" s="23" t="s">
        <v>167</v>
      </c>
      <c r="F57" s="20" t="str">
        <f t="shared" si="17"/>
        <v>20 años 0 meses 0 días</v>
      </c>
      <c r="G57" s="24">
        <v>0.6</v>
      </c>
      <c r="H57" s="20" t="str">
        <f t="shared" si="11"/>
        <v>41 años 11 meses 7 días</v>
      </c>
      <c r="I57" s="20" t="str">
        <f t="shared" si="12"/>
        <v>1 años 3 meses 5 días</v>
      </c>
      <c r="J57" s="172"/>
      <c r="K57" s="173"/>
      <c r="L57" s="26">
        <v>22588.39</v>
      </c>
      <c r="M57" s="26">
        <f t="shared" si="13"/>
        <v>13553.034</v>
      </c>
      <c r="N57" s="27" t="s">
        <v>158</v>
      </c>
      <c r="O57" s="27" t="s">
        <v>42</v>
      </c>
      <c r="P57" s="26" t="s">
        <v>168</v>
      </c>
      <c r="Q57" s="28">
        <v>37773</v>
      </c>
      <c r="R57" s="28">
        <v>45078</v>
      </c>
      <c r="S57" s="28">
        <v>29762</v>
      </c>
      <c r="T57" s="28">
        <v>44619</v>
      </c>
      <c r="U57" s="28"/>
      <c r="V57" s="28"/>
      <c r="W57" s="28"/>
      <c r="X57" s="28"/>
      <c r="Y57" s="1"/>
      <c r="Z57" s="1"/>
      <c r="AA57" s="29"/>
      <c r="AB57" s="30" t="s">
        <v>134</v>
      </c>
      <c r="AC57" s="31" t="s">
        <v>36</v>
      </c>
      <c r="AD57" s="32" t="s">
        <v>37</v>
      </c>
      <c r="AF57" s="30"/>
      <c r="AG57" s="30"/>
      <c r="AH57" s="30"/>
      <c r="AJ57" s="30"/>
      <c r="AK57" s="30"/>
      <c r="AL57" s="30"/>
      <c r="AM57" s="20" t="s">
        <v>339</v>
      </c>
    </row>
    <row r="58" spans="1:43" s="7" customFormat="1" ht="45" customHeight="1" x14ac:dyDescent="0.2">
      <c r="A58" s="20">
        <v>39</v>
      </c>
      <c r="B58" s="20"/>
      <c r="C58" s="21" t="s">
        <v>149</v>
      </c>
      <c r="D58" s="22" t="s">
        <v>169</v>
      </c>
      <c r="E58" s="23" t="s">
        <v>170</v>
      </c>
      <c r="F58" s="20" t="str">
        <f t="shared" si="17"/>
        <v>20 años 0 meses 29 días</v>
      </c>
      <c r="G58" s="24">
        <v>0.6</v>
      </c>
      <c r="H58" s="20" t="str">
        <f t="shared" si="11"/>
        <v>46 años 2 meses 15 días</v>
      </c>
      <c r="I58" s="20" t="str">
        <f t="shared" si="12"/>
        <v>4 años 2 meses 29 días</v>
      </c>
      <c r="J58" s="172"/>
      <c r="K58" s="173"/>
      <c r="L58" s="26">
        <v>22588.39</v>
      </c>
      <c r="M58" s="26">
        <f t="shared" si="13"/>
        <v>13553.034</v>
      </c>
      <c r="N58" s="27" t="s">
        <v>158</v>
      </c>
      <c r="O58" s="27" t="s">
        <v>42</v>
      </c>
      <c r="P58" s="26" t="s">
        <v>171</v>
      </c>
      <c r="Q58" s="28">
        <v>37742</v>
      </c>
      <c r="R58" s="28">
        <v>45076</v>
      </c>
      <c r="S58" s="28">
        <v>28199</v>
      </c>
      <c r="T58" s="28">
        <v>43525</v>
      </c>
      <c r="U58" s="28"/>
      <c r="V58" s="28"/>
      <c r="W58" s="28"/>
      <c r="X58" s="28"/>
      <c r="Y58" s="1"/>
      <c r="Z58" s="1"/>
      <c r="AA58" s="29"/>
      <c r="AB58" s="30" t="s">
        <v>134</v>
      </c>
      <c r="AC58" s="31" t="s">
        <v>36</v>
      </c>
      <c r="AD58" s="32" t="s">
        <v>37</v>
      </c>
      <c r="AF58" s="30"/>
      <c r="AG58" s="30"/>
      <c r="AH58" s="30"/>
      <c r="AJ58" s="30"/>
      <c r="AK58" s="30"/>
      <c r="AL58" s="30"/>
      <c r="AM58" s="20" t="s">
        <v>339</v>
      </c>
    </row>
    <row r="59" spans="1:43" s="7" customFormat="1" ht="45" customHeight="1" x14ac:dyDescent="0.2">
      <c r="A59" s="20">
        <v>40</v>
      </c>
      <c r="B59" s="20"/>
      <c r="C59" s="21" t="s">
        <v>172</v>
      </c>
      <c r="D59" s="22" t="s">
        <v>173</v>
      </c>
      <c r="E59" s="23" t="s">
        <v>174</v>
      </c>
      <c r="F59" s="20" t="str">
        <f t="shared" si="10"/>
        <v>21 años 7 meses 2 días</v>
      </c>
      <c r="G59" s="24">
        <v>1</v>
      </c>
      <c r="H59" s="20" t="str">
        <f t="shared" si="11"/>
        <v>46 años 2 meses 2 días</v>
      </c>
      <c r="I59" s="20" t="str">
        <f t="shared" si="12"/>
        <v>9 años 10 meses 2 días</v>
      </c>
      <c r="J59" s="172"/>
      <c r="K59" s="173"/>
      <c r="L59" s="26">
        <v>22588.39</v>
      </c>
      <c r="M59" s="26">
        <f t="shared" si="13"/>
        <v>22588.39</v>
      </c>
      <c r="N59" s="27" t="s">
        <v>32</v>
      </c>
      <c r="O59" s="27" t="s">
        <v>33</v>
      </c>
      <c r="P59" s="26" t="s">
        <v>175</v>
      </c>
      <c r="Q59" s="28">
        <v>37408</v>
      </c>
      <c r="R59" s="28">
        <v>45294</v>
      </c>
      <c r="S59" s="28">
        <v>28430</v>
      </c>
      <c r="T59" s="28">
        <v>41699</v>
      </c>
      <c r="U59" s="28"/>
      <c r="V59" s="28"/>
      <c r="W59" s="28"/>
      <c r="X59" s="28"/>
      <c r="Y59" s="1"/>
      <c r="Z59" s="1"/>
      <c r="AA59" s="29"/>
      <c r="AB59" s="30" t="s">
        <v>35</v>
      </c>
      <c r="AC59" s="31" t="s">
        <v>36</v>
      </c>
      <c r="AD59" s="32" t="s">
        <v>37</v>
      </c>
      <c r="AF59" s="30"/>
      <c r="AG59" s="30"/>
      <c r="AH59" s="30"/>
      <c r="AJ59" s="30"/>
      <c r="AK59" s="30"/>
      <c r="AL59" s="30"/>
      <c r="AM59" s="20" t="s">
        <v>337</v>
      </c>
    </row>
    <row r="60" spans="1:43" s="7" customFormat="1" ht="45" customHeight="1" x14ac:dyDescent="0.2">
      <c r="A60" s="20">
        <v>41</v>
      </c>
      <c r="B60" s="20"/>
      <c r="C60" s="21" t="s">
        <v>176</v>
      </c>
      <c r="D60" s="22" t="s">
        <v>177</v>
      </c>
      <c r="E60" s="23" t="s">
        <v>178</v>
      </c>
      <c r="F60" s="20" t="str">
        <f t="shared" ref="F60" si="18">DATEDIF(Q60,R60,"y") + DATEDIF(U60,V60,"y") + DATEDIF(W60,X60,"y") + SUM(AF60) &amp; " años " &amp; DATEDIF(Q60,R60,"ym") + DATEDIF(U60,V60,"ym") + DATEDIF(W60,X60,"ym") + SUM(AG60) - SUM(AK60) &amp; " meses " &amp; DATEDIF(Q60,R60,"md") + DATEDIF(U60,V60,"md") + DATEDIF(W60,X60,"md") - SUM(AL60) &amp; " días"</f>
        <v>22 años 4 meses 22 días</v>
      </c>
      <c r="G60" s="24">
        <v>0.65</v>
      </c>
      <c r="H60" s="20" t="str">
        <f t="shared" si="11"/>
        <v>48 años 9 meses 1 días</v>
      </c>
      <c r="I60" s="20" t="str">
        <f t="shared" si="12"/>
        <v>11 años 7 meses 1 días</v>
      </c>
      <c r="J60" s="172" t="s">
        <v>13</v>
      </c>
      <c r="K60" s="173"/>
      <c r="L60" s="26">
        <v>22588.39</v>
      </c>
      <c r="M60" s="26">
        <f t="shared" si="13"/>
        <v>14682.4535</v>
      </c>
      <c r="N60" s="27" t="s">
        <v>158</v>
      </c>
      <c r="O60" s="27" t="s">
        <v>42</v>
      </c>
      <c r="P60" s="26" t="s">
        <v>179</v>
      </c>
      <c r="Q60" s="28">
        <v>37021</v>
      </c>
      <c r="R60" s="28">
        <v>45201</v>
      </c>
      <c r="S60" s="28">
        <v>27395</v>
      </c>
      <c r="T60" s="28">
        <v>40969</v>
      </c>
      <c r="U60" s="28"/>
      <c r="V60" s="28"/>
      <c r="W60" s="28"/>
      <c r="X60" s="28"/>
      <c r="Y60" s="1"/>
      <c r="Z60" s="1"/>
      <c r="AA60" s="29"/>
      <c r="AB60" s="30" t="s">
        <v>134</v>
      </c>
      <c r="AC60" s="31" t="s">
        <v>36</v>
      </c>
      <c r="AD60" s="32" t="s">
        <v>37</v>
      </c>
      <c r="AF60" s="30"/>
      <c r="AG60" s="30"/>
      <c r="AH60" s="30"/>
      <c r="AJ60" s="30"/>
      <c r="AK60" s="30"/>
      <c r="AL60" s="30"/>
      <c r="AM60" s="20" t="s">
        <v>339</v>
      </c>
    </row>
    <row r="61" spans="1:43" s="7" customFormat="1" ht="45" customHeight="1" x14ac:dyDescent="0.2">
      <c r="A61" s="20">
        <v>42</v>
      </c>
      <c r="B61" s="20"/>
      <c r="C61" s="21" t="s">
        <v>180</v>
      </c>
      <c r="D61" s="22" t="s">
        <v>181</v>
      </c>
      <c r="E61" s="23" t="s">
        <v>182</v>
      </c>
      <c r="F61" s="20" t="str">
        <f t="shared" si="10"/>
        <v>9 años 7 meses 2 días</v>
      </c>
      <c r="G61" s="24">
        <v>0.8</v>
      </c>
      <c r="H61" s="20" t="str">
        <f t="shared" si="11"/>
        <v>30 años 10 meses 11 días</v>
      </c>
      <c r="I61" s="20" t="str">
        <f t="shared" si="12"/>
        <v>9 años 7 meses 2 días</v>
      </c>
      <c r="J61" s="172"/>
      <c r="K61" s="173"/>
      <c r="L61" s="26">
        <v>19163.830000000002</v>
      </c>
      <c r="M61" s="26">
        <f t="shared" si="13"/>
        <v>15331.064000000002</v>
      </c>
      <c r="N61" s="27" t="s">
        <v>32</v>
      </c>
      <c r="O61" s="27" t="s">
        <v>33</v>
      </c>
      <c r="P61" s="26" t="s">
        <v>183</v>
      </c>
      <c r="Q61" s="28">
        <v>41791</v>
      </c>
      <c r="R61" s="28">
        <v>45294</v>
      </c>
      <c r="S61" s="28">
        <v>34023</v>
      </c>
      <c r="T61" s="28">
        <v>41791</v>
      </c>
      <c r="U61" s="28"/>
      <c r="V61" s="28"/>
      <c r="W61" s="28"/>
      <c r="X61" s="28"/>
      <c r="Y61" s="1"/>
      <c r="Z61" s="1"/>
      <c r="AA61" s="29"/>
      <c r="AB61" s="30" t="s">
        <v>35</v>
      </c>
      <c r="AC61" s="31" t="s">
        <v>36</v>
      </c>
      <c r="AD61" s="32" t="s">
        <v>37</v>
      </c>
      <c r="AF61" s="30"/>
      <c r="AG61" s="30"/>
      <c r="AH61" s="30"/>
      <c r="AJ61" s="30"/>
      <c r="AK61" s="30"/>
      <c r="AL61" s="30"/>
      <c r="AM61" s="20" t="s">
        <v>337</v>
      </c>
    </row>
    <row r="62" spans="1:43" s="1" customFormat="1" ht="12.75" x14ac:dyDescent="0.2"/>
    <row r="63" spans="1:43" s="1" customFormat="1" ht="12.75" x14ac:dyDescent="0.2">
      <c r="A63" s="168" t="s">
        <v>184</v>
      </c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 t="s">
        <v>2</v>
      </c>
      <c r="AG63" s="168"/>
      <c r="AH63" s="168"/>
      <c r="AI63" s="168"/>
      <c r="AJ63" s="168" t="s">
        <v>3</v>
      </c>
      <c r="AK63" s="168"/>
      <c r="AL63" s="168"/>
      <c r="AM63" s="168"/>
      <c r="AN63" s="6"/>
      <c r="AO63" s="6"/>
      <c r="AP63" s="6"/>
      <c r="AQ63" s="6"/>
    </row>
    <row r="64" spans="1:43" s="19" customFormat="1" ht="25.5" x14ac:dyDescent="0.2">
      <c r="A64" s="8" t="s">
        <v>4</v>
      </c>
      <c r="B64" s="8" t="s">
        <v>5</v>
      </c>
      <c r="C64" s="9" t="s">
        <v>6</v>
      </c>
      <c r="D64" s="9" t="s">
        <v>7</v>
      </c>
      <c r="E64" s="166" t="s">
        <v>8</v>
      </c>
      <c r="F64" s="167" t="s">
        <v>9</v>
      </c>
      <c r="G64" s="10" t="s">
        <v>10</v>
      </c>
      <c r="H64" s="9" t="s">
        <v>11</v>
      </c>
      <c r="I64" s="11" t="s">
        <v>12</v>
      </c>
      <c r="J64" s="166" t="s">
        <v>13</v>
      </c>
      <c r="K64" s="167"/>
      <c r="L64" s="12" t="s">
        <v>14</v>
      </c>
      <c r="M64" s="13" t="s">
        <v>15</v>
      </c>
      <c r="N64" s="13" t="s">
        <v>16</v>
      </c>
      <c r="O64" s="13" t="s">
        <v>17</v>
      </c>
      <c r="P64" s="13" t="s">
        <v>185</v>
      </c>
      <c r="Q64" s="14" t="s">
        <v>19</v>
      </c>
      <c r="R64" s="14" t="s">
        <v>20</v>
      </c>
      <c r="S64" s="15" t="s">
        <v>21</v>
      </c>
      <c r="T64" s="9" t="s">
        <v>13</v>
      </c>
      <c r="U64" s="14" t="s">
        <v>19</v>
      </c>
      <c r="V64" s="14" t="s">
        <v>20</v>
      </c>
      <c r="W64" s="14" t="s">
        <v>19</v>
      </c>
      <c r="X64" s="14" t="s">
        <v>20</v>
      </c>
      <c r="Y64" s="1"/>
      <c r="Z64" s="1"/>
      <c r="AA64" s="16"/>
      <c r="AB64" s="17" t="s">
        <v>22</v>
      </c>
      <c r="AC64" s="17" t="s">
        <v>23</v>
      </c>
      <c r="AD64" s="17" t="s">
        <v>24</v>
      </c>
      <c r="AE64" s="7"/>
      <c r="AF64" s="18" t="s">
        <v>25</v>
      </c>
      <c r="AG64" s="18" t="s">
        <v>26</v>
      </c>
      <c r="AH64" s="18" t="s">
        <v>27</v>
      </c>
      <c r="AI64" s="7"/>
      <c r="AJ64" s="18" t="s">
        <v>25</v>
      </c>
      <c r="AK64" s="18" t="s">
        <v>26</v>
      </c>
      <c r="AL64" s="18" t="s">
        <v>28</v>
      </c>
      <c r="AM64" s="9" t="s">
        <v>335</v>
      </c>
    </row>
    <row r="65" spans="1:43" s="7" customFormat="1" ht="45" customHeight="1" x14ac:dyDescent="0.2">
      <c r="A65" s="20">
        <v>1</v>
      </c>
      <c r="B65" s="20"/>
      <c r="C65" s="21" t="s">
        <v>186</v>
      </c>
      <c r="D65" s="22" t="s">
        <v>187</v>
      </c>
      <c r="E65" s="23" t="s">
        <v>188</v>
      </c>
      <c r="F65" s="20" t="str">
        <f t="shared" ref="F65:F76" si="19">DATEDIF(Q65,R65,"y") + DATEDIF(U65,V65,"y") + DATEDIF(W65,X65,"y") + SUM(AF65) &amp; " años " &amp; DATEDIF(Q65,R65,"ym") + DATEDIF(U65,V65,"ym") + DATEDIF(W65,X65,"ym") + SUM(AG65) - SUM(AK65) &amp; " meses " &amp; DATEDIF(Q65,R65,"md") + DATEDIF(U65,V65,"md") + DATEDIF(W65,X65,"md") - SUM(AL65) &amp; " días"</f>
        <v>34 años 8 meses 2 días</v>
      </c>
      <c r="G65" s="24">
        <v>1</v>
      </c>
      <c r="H65" s="20" t="str">
        <f t="shared" ref="H65:H76" si="20">DATEDIF(S65,R65,"y") &amp; " años " &amp; DATEDIF(S65,R65,"ym") &amp; " meses " &amp; DATEDIF(S65,R65,"md") &amp; " días"</f>
        <v>54 años 10 meses 28 días</v>
      </c>
      <c r="I65" s="20" t="str">
        <f t="shared" ref="I65:I75" si="21">DATEDIF(T65,R65,"y") &amp; " años " &amp; DATEDIF(T65,R65,"ym") &amp; " meses " &amp; DATEDIF(T65,R65,"md") &amp; " días"</f>
        <v>3 años 10 meses 7 días</v>
      </c>
      <c r="J65" s="172"/>
      <c r="K65" s="173"/>
      <c r="L65" s="26">
        <v>29343.32</v>
      </c>
      <c r="M65" s="26">
        <f t="shared" ref="M65:M75" si="22">L65*G65</f>
        <v>29343.32</v>
      </c>
      <c r="N65" s="27"/>
      <c r="O65" s="27" t="s">
        <v>42</v>
      </c>
      <c r="P65" s="26" t="s">
        <v>189</v>
      </c>
      <c r="Q65" s="28">
        <v>32629</v>
      </c>
      <c r="R65" s="28">
        <v>45294</v>
      </c>
      <c r="S65" s="28">
        <v>25240</v>
      </c>
      <c r="T65" s="28">
        <v>43888</v>
      </c>
      <c r="U65" s="28"/>
      <c r="V65" s="28"/>
      <c r="W65" s="28"/>
      <c r="X65" s="28"/>
      <c r="Y65" s="1"/>
      <c r="Z65" s="1"/>
      <c r="AA65" s="29"/>
      <c r="AB65" s="30" t="s">
        <v>190</v>
      </c>
      <c r="AC65" s="31" t="s">
        <v>36</v>
      </c>
      <c r="AD65" s="32" t="s">
        <v>37</v>
      </c>
      <c r="AF65" s="30"/>
      <c r="AG65" s="30"/>
      <c r="AH65" s="30"/>
      <c r="AJ65" s="30"/>
      <c r="AK65" s="30"/>
      <c r="AL65" s="30"/>
      <c r="AM65" s="20" t="s">
        <v>336</v>
      </c>
    </row>
    <row r="66" spans="1:43" s="7" customFormat="1" ht="45" customHeight="1" x14ac:dyDescent="0.2">
      <c r="A66" s="20">
        <v>2</v>
      </c>
      <c r="B66" s="20"/>
      <c r="C66" s="21" t="s">
        <v>191</v>
      </c>
      <c r="D66" s="22" t="s">
        <v>192</v>
      </c>
      <c r="E66" s="23" t="s">
        <v>193</v>
      </c>
      <c r="F66" s="20" t="str">
        <f t="shared" si="19"/>
        <v>31 años 3 meses 1 días</v>
      </c>
      <c r="G66" s="24">
        <v>0.88</v>
      </c>
      <c r="H66" s="20" t="str">
        <f t="shared" si="20"/>
        <v>56 años 8 meses 14 días</v>
      </c>
      <c r="I66" s="20" t="str">
        <f t="shared" si="21"/>
        <v>4 años 10 meses 7 días</v>
      </c>
      <c r="J66" s="172"/>
      <c r="K66" s="173"/>
      <c r="L66" s="26">
        <v>70000</v>
      </c>
      <c r="M66" s="26">
        <f t="shared" si="22"/>
        <v>61600</v>
      </c>
      <c r="N66" s="27"/>
      <c r="O66" s="27" t="s">
        <v>42</v>
      </c>
      <c r="P66" s="26" t="s">
        <v>194</v>
      </c>
      <c r="Q66" s="28">
        <v>34090</v>
      </c>
      <c r="R66" s="28">
        <v>45294</v>
      </c>
      <c r="S66" s="28">
        <v>24582</v>
      </c>
      <c r="T66" s="28">
        <v>43523</v>
      </c>
      <c r="U66" s="28">
        <v>32174</v>
      </c>
      <c r="V66" s="28">
        <v>32385</v>
      </c>
      <c r="W66" s="28"/>
      <c r="X66" s="28"/>
      <c r="Y66" s="1"/>
      <c r="Z66" s="1"/>
      <c r="AA66" s="29"/>
      <c r="AB66" s="30" t="s">
        <v>190</v>
      </c>
      <c r="AC66" s="31" t="s">
        <v>36</v>
      </c>
      <c r="AD66" s="32" t="s">
        <v>37</v>
      </c>
      <c r="AF66" s="30">
        <v>1</v>
      </c>
      <c r="AG66" s="30">
        <v>1</v>
      </c>
      <c r="AH66" s="30"/>
      <c r="AJ66" s="30"/>
      <c r="AK66" s="30">
        <v>12</v>
      </c>
      <c r="AL66" s="30">
        <v>30</v>
      </c>
      <c r="AM66" s="20" t="s">
        <v>336</v>
      </c>
    </row>
    <row r="67" spans="1:43" s="7" customFormat="1" ht="45" customHeight="1" x14ac:dyDescent="0.2">
      <c r="A67" s="20">
        <v>3</v>
      </c>
      <c r="B67" s="20" t="s">
        <v>67</v>
      </c>
      <c r="C67" s="21" t="s">
        <v>195</v>
      </c>
      <c r="D67" s="22" t="s">
        <v>196</v>
      </c>
      <c r="E67" s="23" t="s">
        <v>197</v>
      </c>
      <c r="F67" s="20" t="str">
        <f t="shared" si="19"/>
        <v>28 años 10 meses 2 días</v>
      </c>
      <c r="G67" s="24">
        <v>0.82499999999999996</v>
      </c>
      <c r="H67" s="20" t="str">
        <f t="shared" si="20"/>
        <v>54 años 10 meses 0 días</v>
      </c>
      <c r="I67" s="20" t="str">
        <f t="shared" si="21"/>
        <v>3 años 10 meses 7 días</v>
      </c>
      <c r="J67" s="172"/>
      <c r="K67" s="173"/>
      <c r="L67" s="26">
        <v>27563.58</v>
      </c>
      <c r="M67" s="26">
        <f t="shared" si="22"/>
        <v>22739.9535</v>
      </c>
      <c r="N67" s="27"/>
      <c r="O67" s="27" t="s">
        <v>42</v>
      </c>
      <c r="P67" s="26" t="s">
        <v>198</v>
      </c>
      <c r="Q67" s="28">
        <v>34759</v>
      </c>
      <c r="R67" s="28">
        <v>45294</v>
      </c>
      <c r="S67" s="28">
        <v>25265</v>
      </c>
      <c r="T67" s="28">
        <v>43888</v>
      </c>
      <c r="U67" s="28"/>
      <c r="V67" s="28"/>
      <c r="W67" s="28"/>
      <c r="X67" s="28"/>
      <c r="Y67" s="1"/>
      <c r="Z67" s="1"/>
      <c r="AA67" s="29"/>
      <c r="AB67" s="30" t="s">
        <v>190</v>
      </c>
      <c r="AC67" s="31" t="s">
        <v>36</v>
      </c>
      <c r="AD67" s="32" t="s">
        <v>37</v>
      </c>
      <c r="AF67" s="30"/>
      <c r="AG67" s="30"/>
      <c r="AH67" s="30"/>
      <c r="AJ67" s="30"/>
      <c r="AK67" s="30"/>
      <c r="AL67" s="30"/>
      <c r="AM67" s="20" t="s">
        <v>336</v>
      </c>
    </row>
    <row r="68" spans="1:43" s="7" customFormat="1" ht="45" customHeight="1" x14ac:dyDescent="0.2">
      <c r="A68" s="20">
        <v>4</v>
      </c>
      <c r="B68" s="20"/>
      <c r="C68" s="21" t="s">
        <v>195</v>
      </c>
      <c r="D68" s="22" t="s">
        <v>199</v>
      </c>
      <c r="E68" s="23" t="s">
        <v>200</v>
      </c>
      <c r="F68" s="20" t="str">
        <f t="shared" si="19"/>
        <v>33 años 11 meses 30 días</v>
      </c>
      <c r="G68" s="24">
        <v>0.97</v>
      </c>
      <c r="H68" s="20" t="str">
        <f t="shared" si="20"/>
        <v>52 años 5 meses 17 días</v>
      </c>
      <c r="I68" s="20" t="str">
        <f t="shared" si="21"/>
        <v>4 años 10 meses 7 días</v>
      </c>
      <c r="J68" s="172"/>
      <c r="K68" s="173"/>
      <c r="L68" s="26">
        <v>27563.58</v>
      </c>
      <c r="M68" s="26">
        <f t="shared" si="22"/>
        <v>26736.672600000002</v>
      </c>
      <c r="N68" s="27"/>
      <c r="O68" s="27" t="s">
        <v>42</v>
      </c>
      <c r="P68" s="26" t="s">
        <v>201</v>
      </c>
      <c r="Q68" s="28">
        <v>38899</v>
      </c>
      <c r="R68" s="28">
        <v>45294</v>
      </c>
      <c r="S68" s="28">
        <v>26131</v>
      </c>
      <c r="T68" s="28">
        <v>43523</v>
      </c>
      <c r="U68" s="28">
        <v>32272</v>
      </c>
      <c r="V68" s="28">
        <v>38297</v>
      </c>
      <c r="W68" s="28"/>
      <c r="X68" s="28"/>
      <c r="Y68" s="1"/>
      <c r="Z68" s="1"/>
      <c r="AA68" s="29"/>
      <c r="AB68" s="30" t="s">
        <v>35</v>
      </c>
      <c r="AC68" s="31" t="s">
        <v>36</v>
      </c>
      <c r="AD68" s="32" t="s">
        <v>37</v>
      </c>
      <c r="AF68" s="30"/>
      <c r="AG68" s="30"/>
      <c r="AH68" s="30"/>
      <c r="AJ68" s="30"/>
      <c r="AK68" s="30"/>
      <c r="AL68" s="30"/>
      <c r="AM68" s="20" t="s">
        <v>336</v>
      </c>
    </row>
    <row r="69" spans="1:43" s="7" customFormat="1" ht="45" customHeight="1" x14ac:dyDescent="0.2">
      <c r="A69" s="20">
        <v>5</v>
      </c>
      <c r="B69" s="20"/>
      <c r="C69" s="21" t="s">
        <v>202</v>
      </c>
      <c r="D69" s="22" t="s">
        <v>203</v>
      </c>
      <c r="E69" s="23" t="s">
        <v>204</v>
      </c>
      <c r="F69" s="20" t="str">
        <f t="shared" si="19"/>
        <v>28 años 7 meses 2 días</v>
      </c>
      <c r="G69" s="24">
        <v>1</v>
      </c>
      <c r="H69" s="20" t="str">
        <f t="shared" si="20"/>
        <v>62 años 10 meses 14 días</v>
      </c>
      <c r="I69" s="20" t="str">
        <f t="shared" si="21"/>
        <v>1 años 10 meses 7 días</v>
      </c>
      <c r="J69" s="172"/>
      <c r="K69" s="173"/>
      <c r="L69" s="26">
        <v>25039.85</v>
      </c>
      <c r="M69" s="26">
        <f t="shared" si="22"/>
        <v>25039.85</v>
      </c>
      <c r="N69" s="27" t="s">
        <v>205</v>
      </c>
      <c r="O69" s="27" t="s">
        <v>206</v>
      </c>
      <c r="P69" s="26" t="s">
        <v>207</v>
      </c>
      <c r="Q69" s="28">
        <v>34851</v>
      </c>
      <c r="R69" s="28">
        <v>45294</v>
      </c>
      <c r="S69" s="28">
        <v>22332</v>
      </c>
      <c r="T69" s="28">
        <v>44619</v>
      </c>
      <c r="U69" s="28"/>
      <c r="V69" s="28"/>
      <c r="W69" s="28"/>
      <c r="X69" s="28"/>
      <c r="Y69" s="1"/>
      <c r="Z69" s="1"/>
      <c r="AA69" s="29"/>
      <c r="AB69" s="30" t="s">
        <v>48</v>
      </c>
      <c r="AC69" s="31" t="s">
        <v>36</v>
      </c>
      <c r="AD69" s="32" t="s">
        <v>37</v>
      </c>
      <c r="AF69" s="30"/>
      <c r="AG69" s="30"/>
      <c r="AH69" s="30"/>
      <c r="AJ69" s="30"/>
      <c r="AK69" s="30"/>
      <c r="AL69" s="30"/>
      <c r="AM69" s="20" t="s">
        <v>337</v>
      </c>
    </row>
    <row r="70" spans="1:43" s="7" customFormat="1" ht="45" customHeight="1" x14ac:dyDescent="0.2">
      <c r="A70" s="20">
        <v>6</v>
      </c>
      <c r="B70" s="20"/>
      <c r="C70" s="21" t="s">
        <v>208</v>
      </c>
      <c r="D70" s="22" t="s">
        <v>209</v>
      </c>
      <c r="E70" s="23" t="s">
        <v>210</v>
      </c>
      <c r="F70" s="20" t="str">
        <f t="shared" si="19"/>
        <v>25 años 11 meses 24 días</v>
      </c>
      <c r="G70" s="24">
        <v>0.75</v>
      </c>
      <c r="H70" s="20" t="str">
        <f t="shared" si="20"/>
        <v>43 años 8 meses 5 días</v>
      </c>
      <c r="I70" s="20" t="str">
        <f t="shared" si="21"/>
        <v>5 años 10 meses 29 días</v>
      </c>
      <c r="J70" s="172"/>
      <c r="K70" s="173"/>
      <c r="L70" s="26">
        <v>27563.58</v>
      </c>
      <c r="M70" s="26">
        <f t="shared" si="22"/>
        <v>20672.685000000001</v>
      </c>
      <c r="N70" s="27"/>
      <c r="O70" s="27"/>
      <c r="P70" s="26"/>
      <c r="Q70" s="28">
        <v>35462</v>
      </c>
      <c r="R70" s="28">
        <v>44951</v>
      </c>
      <c r="S70" s="28">
        <v>28995</v>
      </c>
      <c r="T70" s="28">
        <v>42793</v>
      </c>
      <c r="U70" s="28"/>
      <c r="V70" s="28"/>
      <c r="W70" s="28"/>
      <c r="X70" s="28"/>
      <c r="Y70" s="1"/>
      <c r="Z70" s="1"/>
      <c r="AA70" s="29"/>
      <c r="AB70" s="30" t="s">
        <v>134</v>
      </c>
      <c r="AC70" s="31" t="s">
        <v>36</v>
      </c>
      <c r="AD70" s="32" t="s">
        <v>37</v>
      </c>
      <c r="AF70" s="30"/>
      <c r="AG70" s="30"/>
      <c r="AH70" s="30"/>
      <c r="AJ70" s="30"/>
      <c r="AK70" s="30"/>
      <c r="AL70" s="30"/>
      <c r="AM70" s="20" t="s">
        <v>338</v>
      </c>
    </row>
    <row r="71" spans="1:43" s="7" customFormat="1" ht="45" customHeight="1" x14ac:dyDescent="0.2">
      <c r="A71" s="20">
        <v>7</v>
      </c>
      <c r="B71" s="20"/>
      <c r="C71" s="21" t="s">
        <v>211</v>
      </c>
      <c r="D71" s="22" t="s">
        <v>212</v>
      </c>
      <c r="E71" s="23" t="s">
        <v>213</v>
      </c>
      <c r="F71" s="20" t="str">
        <f t="shared" si="19"/>
        <v>20 años 2 meses 2 días</v>
      </c>
      <c r="G71" s="24">
        <v>1</v>
      </c>
      <c r="H71" s="20" t="str">
        <f t="shared" si="20"/>
        <v>63 años 11 meses 7 días</v>
      </c>
      <c r="I71" s="20" t="str">
        <f t="shared" si="21"/>
        <v>8 años 10 meses 7 días</v>
      </c>
      <c r="J71" s="172"/>
      <c r="K71" s="173"/>
      <c r="L71" s="26">
        <v>25039.85</v>
      </c>
      <c r="M71" s="26">
        <f t="shared" si="22"/>
        <v>25039.85</v>
      </c>
      <c r="N71" s="27" t="s">
        <v>205</v>
      </c>
      <c r="O71" s="27" t="s">
        <v>206</v>
      </c>
      <c r="P71" s="26" t="s">
        <v>214</v>
      </c>
      <c r="Q71" s="28">
        <v>37926</v>
      </c>
      <c r="R71" s="28">
        <v>45294</v>
      </c>
      <c r="S71" s="28">
        <v>21942</v>
      </c>
      <c r="T71" s="28">
        <v>42062</v>
      </c>
      <c r="U71" s="28"/>
      <c r="V71" s="28"/>
      <c r="W71" s="28"/>
      <c r="X71" s="28"/>
      <c r="Y71" s="1"/>
      <c r="Z71" s="1"/>
      <c r="AA71" s="29"/>
      <c r="AB71" s="30" t="s">
        <v>48</v>
      </c>
      <c r="AC71" s="31" t="s">
        <v>36</v>
      </c>
      <c r="AD71" s="32" t="s">
        <v>37</v>
      </c>
      <c r="AF71" s="30"/>
      <c r="AG71" s="30"/>
      <c r="AH71" s="30"/>
      <c r="AJ71" s="30"/>
      <c r="AK71" s="30"/>
      <c r="AL71" s="30"/>
      <c r="AM71" s="20" t="s">
        <v>337</v>
      </c>
    </row>
    <row r="72" spans="1:43" s="7" customFormat="1" ht="45" customHeight="1" x14ac:dyDescent="0.2">
      <c r="A72" s="20">
        <v>8</v>
      </c>
      <c r="B72" s="20"/>
      <c r="C72" s="21" t="s">
        <v>211</v>
      </c>
      <c r="D72" s="22" t="s">
        <v>215</v>
      </c>
      <c r="E72" s="23" t="s">
        <v>216</v>
      </c>
      <c r="F72" s="20" t="str">
        <f t="shared" si="19"/>
        <v>25 años 6 meses 2 días</v>
      </c>
      <c r="G72" s="24">
        <v>1</v>
      </c>
      <c r="H72" s="20" t="str">
        <f t="shared" si="20"/>
        <v>51 años 1 meses 22 días</v>
      </c>
      <c r="I72" s="20" t="str">
        <f t="shared" si="21"/>
        <v>7 años 10 meses 7 días</v>
      </c>
      <c r="J72" s="172"/>
      <c r="K72" s="173"/>
      <c r="L72" s="26">
        <v>25039.85</v>
      </c>
      <c r="M72" s="26">
        <f t="shared" si="22"/>
        <v>25039.85</v>
      </c>
      <c r="N72" s="27" t="s">
        <v>205</v>
      </c>
      <c r="O72" s="27" t="s">
        <v>206</v>
      </c>
      <c r="P72" s="26" t="s">
        <v>217</v>
      </c>
      <c r="Q72" s="28">
        <v>37073</v>
      </c>
      <c r="R72" s="28">
        <v>45294</v>
      </c>
      <c r="S72" s="28">
        <v>26615</v>
      </c>
      <c r="T72" s="28">
        <v>42427</v>
      </c>
      <c r="U72" s="28">
        <v>33253</v>
      </c>
      <c r="V72" s="28">
        <v>34348</v>
      </c>
      <c r="W72" s="28"/>
      <c r="X72" s="28"/>
      <c r="Y72" s="1"/>
      <c r="Z72" s="1"/>
      <c r="AA72" s="29"/>
      <c r="AB72" s="30" t="s">
        <v>48</v>
      </c>
      <c r="AC72" s="31" t="s">
        <v>36</v>
      </c>
      <c r="AD72" s="32" t="s">
        <v>37</v>
      </c>
      <c r="AF72" s="30">
        <v>1</v>
      </c>
      <c r="AG72" s="30">
        <v>1</v>
      </c>
      <c r="AH72" s="30"/>
      <c r="AJ72" s="30"/>
      <c r="AK72" s="30">
        <v>12</v>
      </c>
      <c r="AL72" s="30">
        <v>30</v>
      </c>
      <c r="AM72" s="20" t="s">
        <v>337</v>
      </c>
    </row>
    <row r="73" spans="1:43" s="7" customFormat="1" ht="45" customHeight="1" x14ac:dyDescent="0.2">
      <c r="A73" s="20">
        <v>9</v>
      </c>
      <c r="B73" s="20"/>
      <c r="C73" s="21" t="s">
        <v>218</v>
      </c>
      <c r="D73" s="22" t="s">
        <v>219</v>
      </c>
      <c r="E73" s="23" t="s">
        <v>220</v>
      </c>
      <c r="F73" s="20" t="str">
        <f t="shared" si="19"/>
        <v>21 años 2 meses 13 días</v>
      </c>
      <c r="G73" s="24">
        <v>0.625</v>
      </c>
      <c r="H73" s="20" t="str">
        <f t="shared" si="20"/>
        <v>42 años 11 meses 13 días</v>
      </c>
      <c r="I73" s="20" t="str">
        <f t="shared" si="21"/>
        <v>6 años 5 meses 18 días</v>
      </c>
      <c r="J73" s="172"/>
      <c r="K73" s="173"/>
      <c r="L73" s="26">
        <v>25039.85</v>
      </c>
      <c r="M73" s="26">
        <f t="shared" si="22"/>
        <v>15649.90625</v>
      </c>
      <c r="N73" s="27"/>
      <c r="O73" s="27" t="s">
        <v>33</v>
      </c>
      <c r="P73" s="26" t="s">
        <v>221</v>
      </c>
      <c r="Q73" s="28">
        <v>37408</v>
      </c>
      <c r="R73" s="28">
        <v>45152</v>
      </c>
      <c r="S73" s="28">
        <v>29465</v>
      </c>
      <c r="T73" s="28">
        <v>42793</v>
      </c>
      <c r="U73" s="28"/>
      <c r="V73" s="28"/>
      <c r="W73" s="28"/>
      <c r="X73" s="28"/>
      <c r="Y73" s="1"/>
      <c r="Z73" s="1"/>
      <c r="AA73" s="29"/>
      <c r="AB73" s="30" t="s">
        <v>134</v>
      </c>
      <c r="AC73" s="31" t="s">
        <v>36</v>
      </c>
      <c r="AD73" s="32" t="s">
        <v>37</v>
      </c>
      <c r="AF73" s="30"/>
      <c r="AG73" s="30"/>
      <c r="AH73" s="30"/>
      <c r="AJ73" s="30"/>
      <c r="AK73" s="30"/>
      <c r="AL73" s="30"/>
      <c r="AM73" s="20" t="s">
        <v>338</v>
      </c>
    </row>
    <row r="74" spans="1:43" s="7" customFormat="1" ht="45" customHeight="1" x14ac:dyDescent="0.2">
      <c r="A74" s="20">
        <v>10</v>
      </c>
      <c r="B74" s="20"/>
      <c r="C74" s="21" t="s">
        <v>222</v>
      </c>
      <c r="D74" s="22" t="s">
        <v>223</v>
      </c>
      <c r="E74" s="23" t="s">
        <v>224</v>
      </c>
      <c r="F74" s="20" t="str">
        <f t="shared" si="19"/>
        <v>28 años 7 meses 2 días</v>
      </c>
      <c r="G74" s="24">
        <v>1</v>
      </c>
      <c r="H74" s="20" t="str">
        <f t="shared" si="20"/>
        <v>49 años 7 meses 19 días</v>
      </c>
      <c r="I74" s="20" t="str">
        <f t="shared" si="21"/>
        <v>11 años 10 meses 7 días</v>
      </c>
      <c r="J74" s="172" t="s">
        <v>13</v>
      </c>
      <c r="K74" s="173"/>
      <c r="L74" s="26">
        <v>23826.3</v>
      </c>
      <c r="M74" s="26">
        <f t="shared" si="22"/>
        <v>23826.3</v>
      </c>
      <c r="N74" s="27" t="s">
        <v>205</v>
      </c>
      <c r="O74" s="27" t="s">
        <v>206</v>
      </c>
      <c r="P74" s="26" t="s">
        <v>225</v>
      </c>
      <c r="Q74" s="28">
        <v>34851</v>
      </c>
      <c r="R74" s="28">
        <v>45294</v>
      </c>
      <c r="S74" s="28">
        <v>27164</v>
      </c>
      <c r="T74" s="28">
        <v>40966</v>
      </c>
      <c r="U74" s="28"/>
      <c r="V74" s="28"/>
      <c r="W74" s="28"/>
      <c r="X74" s="28"/>
      <c r="Y74" s="1"/>
      <c r="Z74" s="1"/>
      <c r="AA74" s="29"/>
      <c r="AB74" s="30" t="s">
        <v>48</v>
      </c>
      <c r="AC74" s="31" t="s">
        <v>36</v>
      </c>
      <c r="AD74" s="32" t="s">
        <v>37</v>
      </c>
      <c r="AF74" s="30"/>
      <c r="AG74" s="30"/>
      <c r="AH74" s="30"/>
      <c r="AJ74" s="30"/>
      <c r="AK74" s="30"/>
      <c r="AL74" s="30"/>
      <c r="AM74" s="20" t="s">
        <v>337</v>
      </c>
    </row>
    <row r="75" spans="1:43" s="7" customFormat="1" ht="45" customHeight="1" x14ac:dyDescent="0.2">
      <c r="A75" s="20">
        <v>11</v>
      </c>
      <c r="B75" s="20"/>
      <c r="C75" s="21" t="s">
        <v>226</v>
      </c>
      <c r="D75" s="22" t="s">
        <v>227</v>
      </c>
      <c r="E75" s="23" t="s">
        <v>228</v>
      </c>
      <c r="F75" s="20" t="str">
        <f t="shared" si="19"/>
        <v>20 años 0 meses 18 días</v>
      </c>
      <c r="G75" s="24">
        <v>0.6</v>
      </c>
      <c r="H75" s="20" t="str">
        <f t="shared" si="20"/>
        <v>46 años 6 meses 2 días</v>
      </c>
      <c r="I75" s="20" t="str">
        <f t="shared" si="21"/>
        <v>4 años 3 meses 23 días</v>
      </c>
      <c r="J75" s="172"/>
      <c r="K75" s="173"/>
      <c r="L75" s="26">
        <v>19163.830000000002</v>
      </c>
      <c r="M75" s="26">
        <f t="shared" si="22"/>
        <v>11498.298000000001</v>
      </c>
      <c r="N75" s="27" t="s">
        <v>158</v>
      </c>
      <c r="O75" s="27" t="s">
        <v>42</v>
      </c>
      <c r="P75" s="26" t="s">
        <v>229</v>
      </c>
      <c r="Q75" s="28">
        <v>37773</v>
      </c>
      <c r="R75" s="28">
        <v>45096</v>
      </c>
      <c r="S75" s="28">
        <v>28111</v>
      </c>
      <c r="T75" s="28">
        <v>43523</v>
      </c>
      <c r="U75" s="28"/>
      <c r="V75" s="28"/>
      <c r="W75" s="28"/>
      <c r="X75" s="28"/>
      <c r="Y75" s="1"/>
      <c r="Z75" s="1"/>
      <c r="AA75" s="29"/>
      <c r="AB75" s="30" t="s">
        <v>134</v>
      </c>
      <c r="AC75" s="31" t="s">
        <v>36</v>
      </c>
      <c r="AD75" s="32" t="s">
        <v>37</v>
      </c>
      <c r="AF75" s="30"/>
      <c r="AG75" s="30"/>
      <c r="AH75" s="30"/>
      <c r="AJ75" s="30"/>
      <c r="AK75" s="30"/>
      <c r="AL75" s="30"/>
      <c r="AM75" s="20" t="s">
        <v>339</v>
      </c>
    </row>
    <row r="76" spans="1:43" s="7" customFormat="1" ht="45" customHeight="1" x14ac:dyDescent="0.2">
      <c r="A76" s="20">
        <v>12</v>
      </c>
      <c r="B76" s="20"/>
      <c r="C76" s="21" t="s">
        <v>230</v>
      </c>
      <c r="D76" s="22" t="s">
        <v>231</v>
      </c>
      <c r="E76" s="23" t="s">
        <v>232</v>
      </c>
      <c r="F76" s="20" t="str">
        <f t="shared" si="19"/>
        <v>22 años 3 meses 30 días</v>
      </c>
      <c r="G76" s="24">
        <v>0.65</v>
      </c>
      <c r="H76" s="20" t="str">
        <f t="shared" si="20"/>
        <v>53 años 11 meses 26 días</v>
      </c>
      <c r="I76" s="20"/>
      <c r="J76" s="172"/>
      <c r="K76" s="173"/>
      <c r="L76" s="26"/>
      <c r="M76" s="26">
        <v>10000</v>
      </c>
      <c r="N76" s="27"/>
      <c r="O76" s="27" t="s">
        <v>33</v>
      </c>
      <c r="P76" s="26" t="s">
        <v>233</v>
      </c>
      <c r="Q76" s="28">
        <v>32051</v>
      </c>
      <c r="R76" s="28">
        <v>40209</v>
      </c>
      <c r="S76" s="28">
        <v>20490</v>
      </c>
      <c r="T76" s="28"/>
      <c r="U76" s="28"/>
      <c r="V76" s="28"/>
      <c r="W76" s="28"/>
      <c r="X76" s="28"/>
      <c r="Y76" s="1"/>
      <c r="Z76" s="1"/>
      <c r="AA76" s="29"/>
      <c r="AB76" s="30" t="s">
        <v>134</v>
      </c>
      <c r="AC76" s="31" t="s">
        <v>36</v>
      </c>
      <c r="AD76" s="32" t="s">
        <v>37</v>
      </c>
      <c r="AF76" s="30"/>
      <c r="AG76" s="30"/>
      <c r="AH76" s="30"/>
      <c r="AJ76" s="30"/>
      <c r="AK76" s="30"/>
      <c r="AL76" s="30"/>
      <c r="AM76" s="20" t="s">
        <v>338</v>
      </c>
    </row>
    <row r="77" spans="1:43" s="1" customFormat="1" ht="12.75" x14ac:dyDescent="0.2"/>
    <row r="78" spans="1:43" s="1" customFormat="1" ht="12.75" x14ac:dyDescent="0.2">
      <c r="A78" s="168" t="s">
        <v>234</v>
      </c>
      <c r="B78" s="168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 t="s">
        <v>2</v>
      </c>
      <c r="AG78" s="168"/>
      <c r="AH78" s="168"/>
      <c r="AI78" s="168"/>
      <c r="AJ78" s="168" t="s">
        <v>3</v>
      </c>
      <c r="AK78" s="168"/>
      <c r="AL78" s="168"/>
      <c r="AM78" s="168"/>
      <c r="AN78" s="6"/>
      <c r="AO78" s="6"/>
      <c r="AP78" s="6"/>
      <c r="AQ78" s="6"/>
    </row>
    <row r="79" spans="1:43" s="19" customFormat="1" ht="25.5" x14ac:dyDescent="0.2">
      <c r="A79" s="8" t="s">
        <v>4</v>
      </c>
      <c r="B79" s="8" t="s">
        <v>5</v>
      </c>
      <c r="C79" s="9" t="s">
        <v>6</v>
      </c>
      <c r="D79" s="9" t="s">
        <v>7</v>
      </c>
      <c r="E79" s="166" t="s">
        <v>8</v>
      </c>
      <c r="F79" s="167" t="s">
        <v>9</v>
      </c>
      <c r="G79" s="10" t="s">
        <v>10</v>
      </c>
      <c r="H79" s="9" t="s">
        <v>11</v>
      </c>
      <c r="I79" s="11" t="s">
        <v>12</v>
      </c>
      <c r="J79" s="166" t="s">
        <v>13</v>
      </c>
      <c r="K79" s="167"/>
      <c r="L79" s="12" t="s">
        <v>14</v>
      </c>
      <c r="M79" s="13" t="s">
        <v>15</v>
      </c>
      <c r="N79" s="13" t="s">
        <v>16</v>
      </c>
      <c r="O79" s="13" t="s">
        <v>17</v>
      </c>
      <c r="P79" s="13" t="s">
        <v>185</v>
      </c>
      <c r="Q79" s="14" t="s">
        <v>19</v>
      </c>
      <c r="R79" s="14" t="s">
        <v>20</v>
      </c>
      <c r="S79" s="15" t="s">
        <v>21</v>
      </c>
      <c r="T79" s="9" t="s">
        <v>13</v>
      </c>
      <c r="U79" s="14" t="s">
        <v>19</v>
      </c>
      <c r="V79" s="14" t="s">
        <v>20</v>
      </c>
      <c r="W79" s="14" t="s">
        <v>19</v>
      </c>
      <c r="X79" s="14" t="s">
        <v>20</v>
      </c>
      <c r="Y79" s="1"/>
      <c r="Z79" s="1"/>
      <c r="AA79" s="16"/>
      <c r="AB79" s="17" t="s">
        <v>22</v>
      </c>
      <c r="AC79" s="17" t="s">
        <v>23</v>
      </c>
      <c r="AD79" s="17" t="s">
        <v>24</v>
      </c>
      <c r="AE79" s="7"/>
      <c r="AF79" s="18" t="s">
        <v>25</v>
      </c>
      <c r="AG79" s="18" t="s">
        <v>26</v>
      </c>
      <c r="AH79" s="18" t="s">
        <v>27</v>
      </c>
      <c r="AI79" s="7"/>
      <c r="AJ79" s="18" t="s">
        <v>25</v>
      </c>
      <c r="AK79" s="18" t="s">
        <v>26</v>
      </c>
      <c r="AL79" s="18" t="s">
        <v>28</v>
      </c>
      <c r="AM79" s="9" t="s">
        <v>335</v>
      </c>
    </row>
    <row r="80" spans="1:43" s="7" customFormat="1" ht="45" customHeight="1" x14ac:dyDescent="0.2">
      <c r="A80" s="20">
        <v>1</v>
      </c>
      <c r="B80" s="20"/>
      <c r="C80" s="21" t="s">
        <v>235</v>
      </c>
      <c r="D80" s="22" t="s">
        <v>236</v>
      </c>
      <c r="E80" s="23" t="s">
        <v>237</v>
      </c>
      <c r="F80" s="20" t="str">
        <f>DATEDIF(Q80,R80,"y") + DATEDIF(U80,V80,"y") + DATEDIF(W80,X80,"y") + SUM(AF80) &amp; " años " &amp; DATEDIF(Q80,R80,"ym") + DATEDIF(U80,V80,"ym") + DATEDIF(W80,X80,"ym") + SUM(AG80) - SUM(AK80) &amp; " meses " &amp; DATEDIF(Q80,R80,"md") + DATEDIF(U80,V80,"md") + DATEDIF(W80,X80,"md") - SUM(AL80) &amp; " días"</f>
        <v>38 años 9 meses 19 días</v>
      </c>
      <c r="G80" s="24">
        <v>1</v>
      </c>
      <c r="H80" s="20" t="str">
        <f>DATEDIF(S80,R80,"y") &amp; " años " &amp; DATEDIF(S80,R80,"ym") &amp; " meses " &amp; DATEDIF(S80,R80,"md") &amp; " días"</f>
        <v>59 años 2 meses 6 días</v>
      </c>
      <c r="I80" s="20" t="str">
        <f>DATEDIF(T80,R80,"y") &amp; " años " &amp; DATEDIF(T80,R80,"ym") &amp; " meses " &amp; DATEDIF(T80,R80,"md") &amp; " días"</f>
        <v>7 años 10 meses 7 días</v>
      </c>
      <c r="J80" s="172"/>
      <c r="K80" s="173"/>
      <c r="L80" s="26">
        <f>46487.03+25000</f>
        <v>71487.03</v>
      </c>
      <c r="M80" s="26">
        <f>L80*G80</f>
        <v>71487.03</v>
      </c>
      <c r="N80" s="27" t="s">
        <v>205</v>
      </c>
      <c r="O80" s="27" t="s">
        <v>33</v>
      </c>
      <c r="P80" s="26" t="s">
        <v>238</v>
      </c>
      <c r="Q80" s="28">
        <v>31121</v>
      </c>
      <c r="R80" s="28">
        <v>45294</v>
      </c>
      <c r="S80" s="28">
        <v>23678</v>
      </c>
      <c r="T80" s="28">
        <v>42427</v>
      </c>
      <c r="U80" s="28"/>
      <c r="V80" s="28"/>
      <c r="W80" s="28"/>
      <c r="X80" s="28"/>
      <c r="Y80" s="1"/>
      <c r="Z80" s="1"/>
      <c r="AA80" s="29"/>
      <c r="AB80" s="30" t="s">
        <v>134</v>
      </c>
      <c r="AC80" s="31" t="s">
        <v>36</v>
      </c>
      <c r="AD80" s="32" t="s">
        <v>37</v>
      </c>
      <c r="AF80" s="30"/>
      <c r="AG80" s="30"/>
      <c r="AH80" s="30"/>
      <c r="AJ80" s="30"/>
      <c r="AK80" s="30"/>
      <c r="AL80" s="30"/>
      <c r="AM80" s="20" t="s">
        <v>337</v>
      </c>
    </row>
    <row r="81" spans="1:39" s="7" customFormat="1" ht="45" customHeight="1" x14ac:dyDescent="0.2">
      <c r="A81" s="20">
        <v>2</v>
      </c>
      <c r="B81" s="20" t="s">
        <v>38</v>
      </c>
      <c r="C81" s="21" t="s">
        <v>49</v>
      </c>
      <c r="D81" s="22" t="s">
        <v>239</v>
      </c>
      <c r="E81" s="23" t="s">
        <v>240</v>
      </c>
      <c r="F81" s="20" t="str">
        <f t="shared" ref="F81" si="23">DATEDIF(Q81,R81,"y") + DATEDIF(U81,V81,"y") + DATEDIF(W81,X81,"y") + SUM(AF81) &amp; " años " &amp; DATEDIF(Q81,R81,"ym") + DATEDIF(U81,V81,"ym") + DATEDIF(W81,X81,"ym") + SUM(AG81) - SUM(AK81) &amp; " meses " &amp; DATEDIF(Q81,R81,"md") + DATEDIF(U81,V81,"md") + DATEDIF(W81,X81,"md") - SUM(AL81) &amp; " días"</f>
        <v>38 años 10 meses 2 días</v>
      </c>
      <c r="G81" s="24">
        <v>1</v>
      </c>
      <c r="H81" s="20" t="str">
        <f t="shared" ref="H81:H103" si="24">DATEDIF(S81,R81,"y") &amp; " años " &amp; DATEDIF(S81,R81,"ym") &amp; " meses " &amp; DATEDIF(S81,R81,"md") &amp; " días"</f>
        <v>56 años 7 meses 5 días</v>
      </c>
      <c r="I81" s="20" t="str">
        <f t="shared" ref="I81:I97" si="25">DATEDIF(T81,R81,"y") &amp; " años " &amp; DATEDIF(T81,R81,"ym") &amp; " meses " &amp; DATEDIF(T81,R81,"md") &amp; " días"</f>
        <v>7 años 10 meses 7 días</v>
      </c>
      <c r="J81" s="172"/>
      <c r="K81" s="173"/>
      <c r="L81" s="26">
        <v>33637.53</v>
      </c>
      <c r="M81" s="26">
        <f t="shared" ref="M81:M97" si="26">L81*G81</f>
        <v>33637.53</v>
      </c>
      <c r="N81" s="27"/>
      <c r="O81" s="27" t="s">
        <v>42</v>
      </c>
      <c r="P81" s="26" t="s">
        <v>241</v>
      </c>
      <c r="Q81" s="28">
        <v>31107</v>
      </c>
      <c r="R81" s="28">
        <v>45294</v>
      </c>
      <c r="S81" s="28">
        <v>24621</v>
      </c>
      <c r="T81" s="28">
        <v>42427</v>
      </c>
      <c r="U81" s="28"/>
      <c r="V81" s="28"/>
      <c r="W81" s="28"/>
      <c r="X81" s="28"/>
      <c r="Y81" s="1"/>
      <c r="Z81" s="1"/>
      <c r="AA81" s="29"/>
      <c r="AB81" s="30" t="s">
        <v>190</v>
      </c>
      <c r="AC81" s="31" t="s">
        <v>36</v>
      </c>
      <c r="AD81" s="32" t="s">
        <v>37</v>
      </c>
      <c r="AF81" s="30"/>
      <c r="AG81" s="30"/>
      <c r="AH81" s="30"/>
      <c r="AJ81" s="30"/>
      <c r="AK81" s="30"/>
      <c r="AL81" s="30"/>
      <c r="AM81" s="20" t="s">
        <v>336</v>
      </c>
    </row>
    <row r="82" spans="1:39" s="7" customFormat="1" ht="45" customHeight="1" x14ac:dyDescent="0.2">
      <c r="A82" s="20">
        <v>3</v>
      </c>
      <c r="B82" s="20" t="s">
        <v>63</v>
      </c>
      <c r="C82" s="21" t="s">
        <v>49</v>
      </c>
      <c r="D82" s="22" t="s">
        <v>242</v>
      </c>
      <c r="E82" s="23" t="s">
        <v>243</v>
      </c>
      <c r="F82" s="20" t="str">
        <f t="shared" ref="F82" si="27">DATEDIF(Q82,R82,"y") + DATEDIF(U82,V82,"y") + DATEDIF(W82,X82,"y") + SUM(AF82) &amp; " años " &amp; DATEDIF(Q82,R82,"ym") + DATEDIF(U82,V82,"ym") + DATEDIF(W82,X82,"ym") + SUM(AG82) - SUM(AK82) &amp; " meses " &amp; DATEDIF(Q82,R82,"md") + DATEDIF(U82,V82,"md") + DATEDIF(W82,X82,"md") - SUM(AL82) &amp; " días"</f>
        <v>32 años 11 meses 2 días</v>
      </c>
      <c r="G82" s="24">
        <v>0.94</v>
      </c>
      <c r="H82" s="20" t="str">
        <f t="shared" si="24"/>
        <v>51 años 10 meses 30 días</v>
      </c>
      <c r="I82" s="20" t="str">
        <f t="shared" si="25"/>
        <v>7 años 10 meses 7 días</v>
      </c>
      <c r="J82" s="172"/>
      <c r="K82" s="173"/>
      <c r="L82" s="26">
        <v>33637.53</v>
      </c>
      <c r="M82" s="26">
        <f t="shared" si="26"/>
        <v>31619.278199999997</v>
      </c>
      <c r="N82" s="27"/>
      <c r="O82" s="27" t="s">
        <v>42</v>
      </c>
      <c r="P82" s="26" t="s">
        <v>244</v>
      </c>
      <c r="Q82" s="28">
        <v>33270</v>
      </c>
      <c r="R82" s="28">
        <v>45294</v>
      </c>
      <c r="S82" s="28">
        <v>26333</v>
      </c>
      <c r="T82" s="28">
        <v>42427</v>
      </c>
      <c r="U82" s="28"/>
      <c r="V82" s="28"/>
      <c r="W82" s="28"/>
      <c r="X82" s="28"/>
      <c r="Y82" s="1"/>
      <c r="Z82" s="1"/>
      <c r="AA82" s="29"/>
      <c r="AB82" s="30" t="s">
        <v>190</v>
      </c>
      <c r="AC82" s="31" t="s">
        <v>36</v>
      </c>
      <c r="AD82" s="32" t="s">
        <v>37</v>
      </c>
      <c r="AF82" s="30"/>
      <c r="AG82" s="30"/>
      <c r="AH82" s="30"/>
      <c r="AJ82" s="30"/>
      <c r="AK82" s="30"/>
      <c r="AL82" s="30"/>
      <c r="AM82" s="20" t="s">
        <v>336</v>
      </c>
    </row>
    <row r="83" spans="1:39" s="7" customFormat="1" ht="45" customHeight="1" x14ac:dyDescent="0.2">
      <c r="A83" s="20">
        <v>4</v>
      </c>
      <c r="B83" s="20" t="s">
        <v>63</v>
      </c>
      <c r="C83" s="21" t="s">
        <v>49</v>
      </c>
      <c r="D83" s="22" t="s">
        <v>245</v>
      </c>
      <c r="E83" s="23" t="s">
        <v>246</v>
      </c>
      <c r="F83" s="20" t="str">
        <f t="shared" ref="F83:F88" si="28">DATEDIF(Q83,R83,"y") + DATEDIF(U83,V83,"y") + DATEDIF(W83,X83,"y") + SUM(AF83) &amp; " años " &amp; DATEDIF(Q83,R83,"ym") + DATEDIF(U83,V83,"ym") + DATEDIF(W83,X83,"ym") + SUM(AG83) - SUM(AK83) &amp; " meses " &amp; DATEDIF(Q83,R83,"md") + DATEDIF(U83,V83,"md") + DATEDIF(W83,X83,"md") - SUM(AL83) &amp; " días"</f>
        <v>33 años 10 meses 2 días</v>
      </c>
      <c r="G83" s="24">
        <v>0.97</v>
      </c>
      <c r="H83" s="20" t="str">
        <f t="shared" si="24"/>
        <v>51 años 11 meses 0 días</v>
      </c>
      <c r="I83" s="20" t="str">
        <f t="shared" si="25"/>
        <v>7 años 10 meses 7 días</v>
      </c>
      <c r="J83" s="172"/>
      <c r="K83" s="173"/>
      <c r="L83" s="26">
        <v>70000</v>
      </c>
      <c r="M83" s="26">
        <f t="shared" si="26"/>
        <v>67900</v>
      </c>
      <c r="N83" s="27"/>
      <c r="O83" s="27" t="s">
        <v>42</v>
      </c>
      <c r="P83" s="26" t="s">
        <v>247</v>
      </c>
      <c r="Q83" s="28">
        <v>32933</v>
      </c>
      <c r="R83" s="28">
        <v>45294</v>
      </c>
      <c r="S83" s="28">
        <v>26332</v>
      </c>
      <c r="T83" s="28">
        <v>42427</v>
      </c>
      <c r="U83" s="28"/>
      <c r="V83" s="28"/>
      <c r="W83" s="28"/>
      <c r="X83" s="28"/>
      <c r="Y83" s="1"/>
      <c r="Z83" s="1"/>
      <c r="AA83" s="29"/>
      <c r="AB83" s="30" t="s">
        <v>190</v>
      </c>
      <c r="AC83" s="31" t="s">
        <v>36</v>
      </c>
      <c r="AD83" s="32" t="s">
        <v>37</v>
      </c>
      <c r="AF83" s="30"/>
      <c r="AG83" s="30"/>
      <c r="AH83" s="30"/>
      <c r="AJ83" s="30"/>
      <c r="AK83" s="30"/>
      <c r="AL83" s="30"/>
      <c r="AM83" s="20" t="s">
        <v>336</v>
      </c>
    </row>
    <row r="84" spans="1:39" s="7" customFormat="1" ht="45" customHeight="1" x14ac:dyDescent="0.2">
      <c r="A84" s="20">
        <v>5</v>
      </c>
      <c r="B84" s="20" t="s">
        <v>63</v>
      </c>
      <c r="C84" s="21" t="s">
        <v>49</v>
      </c>
      <c r="D84" s="22" t="s">
        <v>248</v>
      </c>
      <c r="E84" s="23" t="s">
        <v>249</v>
      </c>
      <c r="F84" s="20" t="str">
        <f t="shared" si="28"/>
        <v>31 años 8 meses 14 días</v>
      </c>
      <c r="G84" s="24">
        <v>0.91</v>
      </c>
      <c r="H84" s="20" t="str">
        <f t="shared" si="24"/>
        <v>49 años 11 meses 18 días</v>
      </c>
      <c r="I84" s="20" t="str">
        <f t="shared" si="25"/>
        <v>7 años 10 meses 7 días</v>
      </c>
      <c r="J84" s="172"/>
      <c r="K84" s="173"/>
      <c r="L84" s="26">
        <v>70000</v>
      </c>
      <c r="M84" s="26">
        <f t="shared" si="26"/>
        <v>63700</v>
      </c>
      <c r="N84" s="27"/>
      <c r="O84" s="27" t="s">
        <v>42</v>
      </c>
      <c r="P84" s="26" t="s">
        <v>250</v>
      </c>
      <c r="Q84" s="28">
        <v>33714</v>
      </c>
      <c r="R84" s="28">
        <v>45294</v>
      </c>
      <c r="S84" s="28">
        <v>27045</v>
      </c>
      <c r="T84" s="28">
        <v>42427</v>
      </c>
      <c r="U84" s="28"/>
      <c r="V84" s="28"/>
      <c r="W84" s="28"/>
      <c r="X84" s="28"/>
      <c r="Y84" s="1"/>
      <c r="Z84" s="1"/>
      <c r="AA84" s="29"/>
      <c r="AB84" s="30" t="s">
        <v>190</v>
      </c>
      <c r="AC84" s="31" t="s">
        <v>36</v>
      </c>
      <c r="AD84" s="32"/>
      <c r="AF84" s="30"/>
      <c r="AG84" s="30"/>
      <c r="AH84" s="30"/>
      <c r="AJ84" s="30"/>
      <c r="AK84" s="30"/>
      <c r="AL84" s="30"/>
      <c r="AM84" s="20" t="s">
        <v>336</v>
      </c>
    </row>
    <row r="85" spans="1:39" s="7" customFormat="1" ht="45" customHeight="1" x14ac:dyDescent="0.2">
      <c r="A85" s="20">
        <v>6</v>
      </c>
      <c r="B85" s="20"/>
      <c r="C85" s="21" t="s">
        <v>251</v>
      </c>
      <c r="D85" s="22" t="s">
        <v>252</v>
      </c>
      <c r="E85" s="23" t="s">
        <v>253</v>
      </c>
      <c r="F85" s="20" t="str">
        <f t="shared" si="28"/>
        <v>39 años 8 meses 19 días</v>
      </c>
      <c r="G85" s="24">
        <v>1</v>
      </c>
      <c r="H85" s="20" t="str">
        <f t="shared" si="24"/>
        <v>60 años 10 meses 0 días</v>
      </c>
      <c r="I85" s="20" t="str">
        <f>DATEDIF(T85,R85,"y") &amp; " años " &amp; DATEDIF(T85,R85,"ym") &amp; " meses " &amp; DATEDIF(T85,R85,"md") &amp; " días"</f>
        <v>10 años 3 meses 27 días</v>
      </c>
      <c r="J85" s="172" t="s">
        <v>13</v>
      </c>
      <c r="K85" s="173"/>
      <c r="L85" s="26">
        <v>33637.53</v>
      </c>
      <c r="M85" s="26">
        <f>L85*G85</f>
        <v>33637.53</v>
      </c>
      <c r="N85" s="27" t="s">
        <v>205</v>
      </c>
      <c r="O85" s="27" t="s">
        <v>33</v>
      </c>
      <c r="P85" s="26" t="s">
        <v>254</v>
      </c>
      <c r="Q85" s="28">
        <v>30787</v>
      </c>
      <c r="R85" s="28">
        <v>45294</v>
      </c>
      <c r="S85" s="28">
        <v>23073</v>
      </c>
      <c r="T85" s="28">
        <v>41524</v>
      </c>
      <c r="U85" s="28"/>
      <c r="V85" s="28"/>
      <c r="W85" s="28"/>
      <c r="X85" s="28"/>
      <c r="Y85" s="1"/>
      <c r="Z85" s="1"/>
      <c r="AA85" s="29"/>
      <c r="AB85" s="30" t="s">
        <v>134</v>
      </c>
      <c r="AC85" s="31" t="s">
        <v>36</v>
      </c>
      <c r="AD85" s="32" t="s">
        <v>37</v>
      </c>
      <c r="AF85" s="30"/>
      <c r="AG85" s="30"/>
      <c r="AH85" s="30"/>
      <c r="AJ85" s="30"/>
      <c r="AK85" s="30"/>
      <c r="AL85" s="30"/>
      <c r="AM85" s="20" t="s">
        <v>337</v>
      </c>
    </row>
    <row r="86" spans="1:39" s="7" customFormat="1" ht="45" customHeight="1" x14ac:dyDescent="0.2">
      <c r="A86" s="20">
        <v>7</v>
      </c>
      <c r="B86" s="20"/>
      <c r="C86" s="21" t="s">
        <v>251</v>
      </c>
      <c r="D86" s="22" t="s">
        <v>255</v>
      </c>
      <c r="E86" s="23" t="s">
        <v>256</v>
      </c>
      <c r="F86" s="20" t="str">
        <f t="shared" si="28"/>
        <v>35 años 7 meses 2 días</v>
      </c>
      <c r="G86" s="24">
        <v>1</v>
      </c>
      <c r="H86" s="20" t="str">
        <f t="shared" si="24"/>
        <v>52 años 3 meses 9 días</v>
      </c>
      <c r="I86" s="20" t="str">
        <f>DATEDIF(T86,R86,"y") &amp; " años " &amp; DATEDIF(T86,R86,"ym") &amp; " meses " &amp; DATEDIF(T86,R86,"md") &amp; " días"</f>
        <v>5 años 10 meses 2 días</v>
      </c>
      <c r="J86" s="172"/>
      <c r="K86" s="173"/>
      <c r="L86" s="26">
        <v>33637.53</v>
      </c>
      <c r="M86" s="26">
        <f>L86*G86</f>
        <v>33637.53</v>
      </c>
      <c r="N86" s="27" t="s">
        <v>205</v>
      </c>
      <c r="O86" s="27" t="s">
        <v>33</v>
      </c>
      <c r="P86" s="26" t="s">
        <v>257</v>
      </c>
      <c r="Q86" s="28">
        <v>32295</v>
      </c>
      <c r="R86" s="28">
        <v>45294</v>
      </c>
      <c r="S86" s="28">
        <v>26201</v>
      </c>
      <c r="T86" s="28">
        <v>43160</v>
      </c>
      <c r="U86" s="28"/>
      <c r="V86" s="28"/>
      <c r="W86" s="28"/>
      <c r="X86" s="28"/>
      <c r="Y86" s="1"/>
      <c r="Z86" s="1"/>
      <c r="AA86" s="29"/>
      <c r="AB86" s="30" t="s">
        <v>134</v>
      </c>
      <c r="AC86" s="31" t="s">
        <v>36</v>
      </c>
      <c r="AD86" s="32" t="s">
        <v>37</v>
      </c>
      <c r="AF86" s="30"/>
      <c r="AG86" s="30"/>
      <c r="AH86" s="30"/>
      <c r="AJ86" s="30"/>
      <c r="AK86" s="30"/>
      <c r="AL86" s="30"/>
      <c r="AM86" s="20" t="s">
        <v>337</v>
      </c>
    </row>
    <row r="87" spans="1:39" s="7" customFormat="1" ht="45" customHeight="1" x14ac:dyDescent="0.2">
      <c r="A87" s="20">
        <v>8</v>
      </c>
      <c r="B87" s="20"/>
      <c r="C87" s="21" t="s">
        <v>258</v>
      </c>
      <c r="D87" s="22" t="s">
        <v>259</v>
      </c>
      <c r="E87" s="23" t="s">
        <v>260</v>
      </c>
      <c r="F87" s="20" t="str">
        <f t="shared" si="28"/>
        <v>26 años 6 meses 27 días</v>
      </c>
      <c r="G87" s="24">
        <v>0.77500000000000002</v>
      </c>
      <c r="H87" s="20" t="str">
        <f t="shared" si="24"/>
        <v>47 años 10 meses 29 días</v>
      </c>
      <c r="I87" s="20" t="str">
        <f>DATEDIF(T87,R87,"y") &amp; " años " &amp; DATEDIF(T87,R87,"ym") &amp; " meses " &amp; DATEDIF(T87,R87,"md") &amp; " días"</f>
        <v>4 años 1 meses 27 días</v>
      </c>
      <c r="J87" s="172"/>
      <c r="K87" s="173"/>
      <c r="L87" s="26">
        <v>28032.69</v>
      </c>
      <c r="M87" s="26">
        <f>L87*G87</f>
        <v>21725.334749999998</v>
      </c>
      <c r="N87" s="27" t="s">
        <v>80</v>
      </c>
      <c r="O87" s="27" t="s">
        <v>33</v>
      </c>
      <c r="P87" s="26" t="s">
        <v>261</v>
      </c>
      <c r="Q87" s="28">
        <v>34973</v>
      </c>
      <c r="R87" s="28">
        <v>44679</v>
      </c>
      <c r="S87" s="28">
        <v>27179</v>
      </c>
      <c r="T87" s="28">
        <v>43160</v>
      </c>
      <c r="U87" s="28"/>
      <c r="V87" s="28"/>
      <c r="W87" s="28"/>
      <c r="X87" s="28"/>
      <c r="Y87" s="1"/>
      <c r="Z87" s="1"/>
      <c r="AA87" s="29"/>
      <c r="AB87" s="30" t="s">
        <v>134</v>
      </c>
      <c r="AC87" s="31" t="s">
        <v>36</v>
      </c>
      <c r="AD87" s="32" t="s">
        <v>37</v>
      </c>
      <c r="AF87" s="30"/>
      <c r="AG87" s="30"/>
      <c r="AH87" s="30"/>
      <c r="AJ87" s="30"/>
      <c r="AK87" s="30"/>
      <c r="AL87" s="30"/>
      <c r="AM87" s="20" t="s">
        <v>338</v>
      </c>
    </row>
    <row r="88" spans="1:39" s="7" customFormat="1" ht="45" customHeight="1" x14ac:dyDescent="0.2">
      <c r="A88" s="20">
        <v>9</v>
      </c>
      <c r="B88" s="20" t="s">
        <v>63</v>
      </c>
      <c r="C88" s="21" t="s">
        <v>56</v>
      </c>
      <c r="D88" s="22" t="s">
        <v>262</v>
      </c>
      <c r="E88" s="23" t="s">
        <v>263</v>
      </c>
      <c r="F88" s="20" t="str">
        <f t="shared" si="28"/>
        <v>31 años 1 meses 3 días</v>
      </c>
      <c r="G88" s="24">
        <v>0.88</v>
      </c>
      <c r="H88" s="20" t="str">
        <f t="shared" si="24"/>
        <v>50 años 7 meses 16 días</v>
      </c>
      <c r="I88" s="20" t="str">
        <f t="shared" si="25"/>
        <v>5 años 10 meses 2 días</v>
      </c>
      <c r="J88" s="172"/>
      <c r="K88" s="173"/>
      <c r="L88" s="26">
        <v>70000</v>
      </c>
      <c r="M88" s="26">
        <f t="shared" si="26"/>
        <v>61600</v>
      </c>
      <c r="N88" s="27"/>
      <c r="O88" s="27" t="s">
        <v>42</v>
      </c>
      <c r="P88" s="26" t="s">
        <v>264</v>
      </c>
      <c r="Q88" s="28">
        <v>36616</v>
      </c>
      <c r="R88" s="28">
        <v>45294</v>
      </c>
      <c r="S88" s="28">
        <v>26802</v>
      </c>
      <c r="T88" s="28">
        <v>43160</v>
      </c>
      <c r="U88" s="28">
        <v>33939</v>
      </c>
      <c r="V88" s="28">
        <v>36616</v>
      </c>
      <c r="W88" s="28"/>
      <c r="X88" s="28"/>
      <c r="Y88" s="1"/>
      <c r="Z88" s="1"/>
      <c r="AA88" s="29"/>
      <c r="AB88" s="30" t="s">
        <v>190</v>
      </c>
      <c r="AC88" s="31" t="s">
        <v>36</v>
      </c>
      <c r="AD88" s="32"/>
      <c r="AF88" s="30">
        <v>1</v>
      </c>
      <c r="AG88" s="30">
        <v>1</v>
      </c>
      <c r="AH88" s="30"/>
      <c r="AJ88" s="30"/>
      <c r="AK88" s="30">
        <v>12</v>
      </c>
      <c r="AL88" s="30">
        <v>30</v>
      </c>
      <c r="AM88" s="20" t="s">
        <v>336</v>
      </c>
    </row>
    <row r="89" spans="1:39" s="7" customFormat="1" ht="45" customHeight="1" x14ac:dyDescent="0.2">
      <c r="A89" s="20">
        <v>10</v>
      </c>
      <c r="B89" s="20"/>
      <c r="C89" s="21" t="s">
        <v>56</v>
      </c>
      <c r="D89" s="22" t="s">
        <v>265</v>
      </c>
      <c r="E89" s="23" t="s">
        <v>266</v>
      </c>
      <c r="F89" s="20" t="str">
        <f t="shared" ref="F89" si="29">DATEDIF(Q89,R89,"y") + DATEDIF(U89,V89,"y") + DATEDIF(W89,X89,"y") + SUM(AF89) &amp; " años " &amp; DATEDIF(Q89,R89,"ym") + DATEDIF(U89,V89,"ym") + DATEDIF(W89,X89,"ym") + SUM(AG89) - SUM(AK89) &amp; " meses " &amp; DATEDIF(Q89,R89,"md") + DATEDIF(U89,V89,"md") + DATEDIF(W89,X89,"md") - SUM(AL89) &amp; " días"</f>
        <v>29 años 11 meses 2 días</v>
      </c>
      <c r="G89" s="24">
        <v>0.85</v>
      </c>
      <c r="H89" s="20" t="str">
        <f t="shared" si="24"/>
        <v>53 años 6 meses 8 días</v>
      </c>
      <c r="I89" s="20" t="str">
        <f t="shared" si="25"/>
        <v>8 años 10 meses 7 días</v>
      </c>
      <c r="J89" s="172"/>
      <c r="K89" s="173"/>
      <c r="L89" s="26">
        <v>29343.32</v>
      </c>
      <c r="M89" s="26">
        <f t="shared" si="26"/>
        <v>24941.822</v>
      </c>
      <c r="N89" s="27"/>
      <c r="O89" s="27" t="s">
        <v>42</v>
      </c>
      <c r="P89" s="26" t="s">
        <v>267</v>
      </c>
      <c r="Q89" s="28">
        <v>34366</v>
      </c>
      <c r="R89" s="28">
        <v>45294</v>
      </c>
      <c r="S89" s="28">
        <v>25745</v>
      </c>
      <c r="T89" s="28">
        <v>42062</v>
      </c>
      <c r="U89" s="28"/>
      <c r="V89" s="28"/>
      <c r="W89" s="28"/>
      <c r="X89" s="28"/>
      <c r="Y89" s="1"/>
      <c r="Z89" s="1"/>
      <c r="AA89" s="29"/>
      <c r="AB89" s="30" t="s">
        <v>268</v>
      </c>
      <c r="AC89" s="31" t="s">
        <v>36</v>
      </c>
      <c r="AD89" s="32" t="s">
        <v>37</v>
      </c>
      <c r="AF89" s="30"/>
      <c r="AG89" s="30"/>
      <c r="AH89" s="30"/>
      <c r="AJ89" s="30"/>
      <c r="AK89" s="30"/>
      <c r="AL89" s="30"/>
      <c r="AM89" s="20" t="s">
        <v>336</v>
      </c>
    </row>
    <row r="90" spans="1:39" s="7" customFormat="1" ht="45" customHeight="1" x14ac:dyDescent="0.2">
      <c r="A90" s="20">
        <v>11</v>
      </c>
      <c r="B90" s="20"/>
      <c r="C90" s="21" t="s">
        <v>77</v>
      </c>
      <c r="D90" s="22" t="s">
        <v>269</v>
      </c>
      <c r="E90" s="23" t="s">
        <v>270</v>
      </c>
      <c r="F90" s="20" t="str">
        <f>DATEDIF(Q90,R90,"y") + DATEDIF(U90,V90,"y") + DATEDIF(W90,X90,"y") + SUM(AF90) &amp; " años " &amp; DATEDIF(Q90,R90,"ym") + DATEDIF(U90,V90,"ym") + DATEDIF(W90,X90,"ym") + SUM(AG90) - SUM(AK90) &amp; " meses " &amp; DATEDIF(Q90,R90,"md") + DATEDIF(U90,V90,"md") + DATEDIF(W90,X90,"md") - SUM(AL90) &amp; " días"</f>
        <v>29 años 4 meses 14 días</v>
      </c>
      <c r="G90" s="24">
        <v>0.82499999999999996</v>
      </c>
      <c r="H90" s="20" t="str">
        <f>DATEDIF(S90,R90,"y") &amp; " años " &amp; DATEDIF(S90,R90,"ym") &amp; " meses " &amp; DATEDIF(S90,R90,"md") &amp; " días"</f>
        <v>48 años 9 meses 12 días</v>
      </c>
      <c r="I90" s="20" t="str">
        <f>DATEDIF(T90,R90,"y") &amp; " años " &amp; DATEDIF(T90,R90,"ym") &amp; " meses " &amp; DATEDIF(T90,R90,"md") &amp; " días"</f>
        <v>6 años 2 meses 18 días</v>
      </c>
      <c r="J90" s="172"/>
      <c r="K90" s="173"/>
      <c r="L90" s="26">
        <v>28032.69</v>
      </c>
      <c r="M90" s="26">
        <f>L90*G90</f>
        <v>23126.969249999998</v>
      </c>
      <c r="N90" s="27" t="s">
        <v>80</v>
      </c>
      <c r="O90" s="27" t="s">
        <v>33</v>
      </c>
      <c r="P90" s="26" t="s">
        <v>271</v>
      </c>
      <c r="Q90" s="28">
        <v>33970</v>
      </c>
      <c r="R90" s="28">
        <v>44696</v>
      </c>
      <c r="S90" s="28">
        <v>26879</v>
      </c>
      <c r="T90" s="28">
        <v>42427</v>
      </c>
      <c r="U90" s="28"/>
      <c r="V90" s="28"/>
      <c r="W90" s="28"/>
      <c r="X90" s="28"/>
      <c r="Y90" s="1"/>
      <c r="Z90" s="1"/>
      <c r="AA90" s="29"/>
      <c r="AB90" s="30" t="s">
        <v>134</v>
      </c>
      <c r="AC90" s="31" t="s">
        <v>36</v>
      </c>
      <c r="AD90" s="32" t="s">
        <v>37</v>
      </c>
      <c r="AF90" s="30"/>
      <c r="AG90" s="30"/>
      <c r="AH90" s="30"/>
      <c r="AJ90" s="30"/>
      <c r="AK90" s="30"/>
      <c r="AL90" s="30"/>
      <c r="AM90" s="20" t="s">
        <v>338</v>
      </c>
    </row>
    <row r="91" spans="1:39" s="7" customFormat="1" ht="45" customHeight="1" x14ac:dyDescent="0.2">
      <c r="A91" s="20">
        <v>12</v>
      </c>
      <c r="B91" s="20" t="s">
        <v>67</v>
      </c>
      <c r="C91" s="21" t="s">
        <v>87</v>
      </c>
      <c r="D91" s="22" t="s">
        <v>272</v>
      </c>
      <c r="E91" s="23" t="s">
        <v>273</v>
      </c>
      <c r="F91" s="20" t="str">
        <f t="shared" ref="F91:F99" si="30">DATEDIF(Q91,R91,"y") + DATEDIF(U91,V91,"y") + DATEDIF(W91,X91,"y") + SUM(AF91) &amp; " años " &amp; DATEDIF(Q91,R91,"ym") + DATEDIF(U91,V91,"ym") + DATEDIF(W91,X91,"ym") + SUM(AG91) - SUM(AK91) &amp; " meses " &amp; DATEDIF(Q91,R91,"md") + DATEDIF(U91,V91,"md") + DATEDIF(W91,X91,"md") - SUM(AL91) &amp; " días"</f>
        <v>29 años 10 meses 2 días</v>
      </c>
      <c r="G91" s="24">
        <v>0.85</v>
      </c>
      <c r="H91" s="20" t="str">
        <f t="shared" si="24"/>
        <v>52 años 4 meses 1 días</v>
      </c>
      <c r="I91" s="20" t="str">
        <f t="shared" si="25"/>
        <v>8 años 10 meses 7 días</v>
      </c>
      <c r="J91" s="172"/>
      <c r="K91" s="173"/>
      <c r="L91" s="26">
        <v>60000</v>
      </c>
      <c r="M91" s="26">
        <f t="shared" si="26"/>
        <v>51000</v>
      </c>
      <c r="N91" s="27"/>
      <c r="O91" s="27" t="s">
        <v>42</v>
      </c>
      <c r="P91" s="26" t="s">
        <v>274</v>
      </c>
      <c r="Q91" s="28">
        <v>34394</v>
      </c>
      <c r="R91" s="28">
        <v>45294</v>
      </c>
      <c r="S91" s="28">
        <v>26178</v>
      </c>
      <c r="T91" s="28">
        <v>42062</v>
      </c>
      <c r="U91" s="28"/>
      <c r="V91" s="28"/>
      <c r="W91" s="28"/>
      <c r="X91" s="28"/>
      <c r="Y91" s="1"/>
      <c r="Z91" s="1"/>
      <c r="AA91" s="29"/>
      <c r="AB91" s="30" t="s">
        <v>268</v>
      </c>
      <c r="AC91" s="31" t="s">
        <v>36</v>
      </c>
      <c r="AD91" s="32" t="s">
        <v>37</v>
      </c>
      <c r="AF91" s="30"/>
      <c r="AG91" s="30"/>
      <c r="AH91" s="30"/>
      <c r="AJ91" s="30"/>
      <c r="AK91" s="30"/>
      <c r="AL91" s="30"/>
      <c r="AM91" s="20" t="s">
        <v>336</v>
      </c>
    </row>
    <row r="92" spans="1:39" s="7" customFormat="1" ht="45" customHeight="1" x14ac:dyDescent="0.2">
      <c r="A92" s="20">
        <v>13</v>
      </c>
      <c r="B92" s="20"/>
      <c r="C92" s="21" t="s">
        <v>87</v>
      </c>
      <c r="D92" s="22" t="s">
        <v>275</v>
      </c>
      <c r="E92" s="23" t="s">
        <v>276</v>
      </c>
      <c r="F92" s="20" t="str">
        <f>DATEDIF(Q92,R92,"y") + DATEDIF(U92,V92,"y") + DATEDIF(W92,X92,"y") + SUM(AF92) &amp; " años " &amp; DATEDIF(Q92,R92,"ym") + DATEDIF(U92,V92,"ym") + DATEDIF(W92,X92,"ym") + SUM(AG92) - SUM(AK92) &amp; " meses " &amp; DATEDIF(Q92,R92,"md") + DATEDIF(U92,V92,"md") + DATEDIF(W92,X92,"md") - SUM(AL92) &amp; " días"</f>
        <v>24 años 8 meses 2 días</v>
      </c>
      <c r="G92" s="24">
        <v>1</v>
      </c>
      <c r="H92" s="20" t="str">
        <f>DATEDIF(S92,R92,"y") &amp; " años " &amp; DATEDIF(S92,R92,"ym") &amp; " meses " &amp; DATEDIF(S92,R92,"md") &amp; " días"</f>
        <v>44 años 9 meses 18 días</v>
      </c>
      <c r="I92" s="20" t="str">
        <f>DATEDIF(T92,R92,"y") &amp; " años " &amp; DATEDIF(T92,R92,"ym") &amp; " meses " &amp; DATEDIF(T92,R92,"md") &amp; " días"</f>
        <v>4 años 10 meses 7 días</v>
      </c>
      <c r="J92" s="172"/>
      <c r="K92" s="173"/>
      <c r="L92" s="26">
        <v>25039.85</v>
      </c>
      <c r="M92" s="26">
        <f>L92*G92</f>
        <v>25039.85</v>
      </c>
      <c r="N92" s="27" t="s">
        <v>205</v>
      </c>
      <c r="O92" s="27" t="s">
        <v>33</v>
      </c>
      <c r="P92" s="26" t="s">
        <v>277</v>
      </c>
      <c r="Q92" s="28">
        <v>36281</v>
      </c>
      <c r="R92" s="28">
        <v>45294</v>
      </c>
      <c r="S92" s="28">
        <v>28930</v>
      </c>
      <c r="T92" s="28">
        <v>43523</v>
      </c>
      <c r="U92" s="28"/>
      <c r="V92" s="28"/>
      <c r="W92" s="28"/>
      <c r="X92" s="28"/>
      <c r="Y92" s="1"/>
      <c r="Z92" s="1"/>
      <c r="AA92" s="29"/>
      <c r="AB92" s="30" t="s">
        <v>134</v>
      </c>
      <c r="AC92" s="31" t="s">
        <v>36</v>
      </c>
      <c r="AD92" s="32" t="s">
        <v>37</v>
      </c>
      <c r="AF92" s="30"/>
      <c r="AG92" s="30"/>
      <c r="AH92" s="30"/>
      <c r="AJ92" s="30"/>
      <c r="AK92" s="30"/>
      <c r="AL92" s="30"/>
      <c r="AM92" s="20" t="s">
        <v>337</v>
      </c>
    </row>
    <row r="93" spans="1:39" s="7" customFormat="1" ht="45" customHeight="1" x14ac:dyDescent="0.2">
      <c r="A93" s="20">
        <v>14</v>
      </c>
      <c r="B93" s="20"/>
      <c r="C93" s="21" t="s">
        <v>118</v>
      </c>
      <c r="D93" s="22" t="s">
        <v>278</v>
      </c>
      <c r="E93" s="23" t="s">
        <v>279</v>
      </c>
      <c r="F93" s="20" t="str">
        <f>DATEDIF(Q93,R93,"y") + DATEDIF(U93,V93,"y") + DATEDIF(W93,X93,"y") + SUM(AF93) &amp; " años " &amp; DATEDIF(Q93,R93,"ym") + DATEDIF(U93,V93,"ym") + DATEDIF(W93,X93,"ym") + SUM(AG93) - SUM(AK93) &amp; " meses " &amp; DATEDIF(Q93,R93,"md") + DATEDIF(U93,V93,"md") + DATEDIF(W93,X93,"md") - SUM(AL93) &amp; " días"</f>
        <v>28 años 11 meses 2 días</v>
      </c>
      <c r="G93" s="24">
        <v>0.82499999999999996</v>
      </c>
      <c r="H93" s="20" t="str">
        <f>DATEDIF(S93,R93,"y") &amp; " años " &amp; DATEDIF(S93,R93,"ym") &amp; " meses " &amp; DATEDIF(S93,R93,"md") &amp; " días"</f>
        <v>50 años 4 meses 2 días</v>
      </c>
      <c r="I93" s="20" t="str">
        <f>DATEDIF(T93,R93,"y") &amp; " años " &amp; DATEDIF(T93,R93,"ym") &amp; " meses " &amp; DATEDIF(T93,R93,"md") &amp; " días"</f>
        <v>10 años 5 meses 18 días</v>
      </c>
      <c r="J93" s="172"/>
      <c r="K93" s="173"/>
      <c r="L93" s="26">
        <v>26251.03</v>
      </c>
      <c r="M93" s="26">
        <f>L93*G93</f>
        <v>21657.099749999998</v>
      </c>
      <c r="N93" s="27" t="s">
        <v>80</v>
      </c>
      <c r="O93" s="27" t="s">
        <v>33</v>
      </c>
      <c r="P93" s="26" t="s">
        <v>280</v>
      </c>
      <c r="Q93" s="28">
        <v>34029</v>
      </c>
      <c r="R93" s="28">
        <v>44595</v>
      </c>
      <c r="S93" s="28">
        <v>26207</v>
      </c>
      <c r="T93" s="28">
        <v>40771</v>
      </c>
      <c r="U93" s="28"/>
      <c r="V93" s="28"/>
      <c r="W93" s="28"/>
      <c r="X93" s="28"/>
      <c r="Y93" s="1"/>
      <c r="Z93" s="1"/>
      <c r="AA93" s="29"/>
      <c r="AB93" s="30" t="s">
        <v>134</v>
      </c>
      <c r="AC93" s="31" t="s">
        <v>36</v>
      </c>
      <c r="AD93" s="32" t="s">
        <v>37</v>
      </c>
      <c r="AF93" s="30"/>
      <c r="AG93" s="30"/>
      <c r="AH93" s="30"/>
      <c r="AJ93" s="30"/>
      <c r="AK93" s="30"/>
      <c r="AL93" s="30"/>
      <c r="AM93" s="20" t="s">
        <v>338</v>
      </c>
    </row>
    <row r="94" spans="1:39" s="7" customFormat="1" ht="45" customHeight="1" x14ac:dyDescent="0.2">
      <c r="A94" s="20">
        <v>15</v>
      </c>
      <c r="B94" s="20"/>
      <c r="C94" s="21" t="s">
        <v>118</v>
      </c>
      <c r="D94" s="22" t="s">
        <v>281</v>
      </c>
      <c r="E94" s="23" t="s">
        <v>282</v>
      </c>
      <c r="F94" s="20" t="str">
        <f>DATEDIF(Q94,R94,"y") + DATEDIF(U94,V94,"y") + DATEDIF(W94,X94,"y") + SUM(AF94) &amp; " años " &amp; DATEDIF(Q94,R94,"ym") + DATEDIF(U94,V94,"ym") + DATEDIF(W94,X94,"ym") + SUM(AG94) - SUM(AK94) &amp; " meses " &amp; DATEDIF(Q94,R94,"md") + DATEDIF(U94,V94,"md") + DATEDIF(W94,X94,"md") - SUM(AL94) &amp; " días"</f>
        <v>25 años 5 meses 20 días</v>
      </c>
      <c r="G94" s="24">
        <v>0.72499999999999998</v>
      </c>
      <c r="H94" s="20" t="str">
        <f>DATEDIF(S94,R94,"y") &amp; " años " &amp; DATEDIF(S94,R94,"ym") &amp; " meses " &amp; DATEDIF(S94,R94,"md") &amp; " días"</f>
        <v>50 años 2 meses 11 días</v>
      </c>
      <c r="I94" s="20" t="str">
        <f>DATEDIF(T94,R94,"y") &amp; " años " &amp; DATEDIF(T94,R94,"ym") &amp; " meses " &amp; DATEDIF(T94,R94,"md") &amp; " días"</f>
        <v>5 años 10 meses 29 días</v>
      </c>
      <c r="J94" s="172"/>
      <c r="K94" s="173"/>
      <c r="L94" s="26">
        <v>26251.03</v>
      </c>
      <c r="M94" s="26">
        <f>L94*G94</f>
        <v>19031.996749999998</v>
      </c>
      <c r="N94" s="27" t="s">
        <v>80</v>
      </c>
      <c r="O94" s="27" t="s">
        <v>33</v>
      </c>
      <c r="P94" s="26" t="s">
        <v>283</v>
      </c>
      <c r="Q94" s="28">
        <v>35827</v>
      </c>
      <c r="R94" s="28">
        <v>44586</v>
      </c>
      <c r="S94" s="28">
        <v>26251</v>
      </c>
      <c r="T94" s="28">
        <v>42427</v>
      </c>
      <c r="U94" s="28">
        <v>33270</v>
      </c>
      <c r="V94" s="28">
        <v>33812</v>
      </c>
      <c r="W94" s="28"/>
      <c r="X94" s="28"/>
      <c r="Y94" s="1"/>
      <c r="Z94" s="1"/>
      <c r="AA94" s="29"/>
      <c r="AB94" s="30" t="s">
        <v>134</v>
      </c>
      <c r="AC94" s="31" t="s">
        <v>36</v>
      </c>
      <c r="AD94" s="32" t="s">
        <v>37</v>
      </c>
      <c r="AF94" s="30">
        <v>1</v>
      </c>
      <c r="AG94" s="30">
        <v>1</v>
      </c>
      <c r="AH94" s="30"/>
      <c r="AJ94" s="30"/>
      <c r="AK94" s="30">
        <v>12</v>
      </c>
      <c r="AL94" s="30">
        <v>30</v>
      </c>
      <c r="AM94" s="20" t="s">
        <v>338</v>
      </c>
    </row>
    <row r="95" spans="1:39" s="7" customFormat="1" ht="45" customHeight="1" x14ac:dyDescent="0.2">
      <c r="A95" s="20">
        <v>16</v>
      </c>
      <c r="B95" s="20"/>
      <c r="C95" s="21" t="s">
        <v>130</v>
      </c>
      <c r="D95" s="22" t="s">
        <v>284</v>
      </c>
      <c r="E95" s="23" t="s">
        <v>285</v>
      </c>
      <c r="F95" s="20" t="str">
        <f>DATEDIF(Q95,R95,"y") + DATEDIF(U95,V95,"y") + DATEDIF(W95,X95,"y") + SUM(AF95) &amp; " años " &amp; DATEDIF(Q95,R95,"ym") + DATEDIF(U95,V95,"ym") + DATEDIF(W95,X95,"ym") + SUM(AG95) - SUM(AK95) &amp; " meses " &amp; DATEDIF(Q95,R95,"md") + DATEDIF(U95,V95,"md") + DATEDIF(W95,X95,"md") - SUM(AL95) &amp; " días"</f>
        <v>24 años 8 meses 25 días</v>
      </c>
      <c r="G95" s="24">
        <v>0.72499999999999998</v>
      </c>
      <c r="H95" s="20" t="str">
        <f>DATEDIF(S95,R95,"y") &amp; " años " &amp; DATEDIF(S95,R95,"ym") &amp; " meses " &amp; DATEDIF(S95,R95,"md") &amp; " días"</f>
        <v>42 años 1 meses 10 días</v>
      </c>
      <c r="I95" s="20" t="str">
        <f t="shared" ref="I95:I96" si="31">DATEDIF(T95,R95,"y") &amp; " años " &amp; DATEDIF(T95,R95,"ym") &amp; " meses " &amp; DATEDIF(T95,R95,"md") &amp; " días"</f>
        <v>6 años 8 meses 30 días</v>
      </c>
      <c r="J95" s="172"/>
      <c r="K95" s="173"/>
      <c r="L95" s="26">
        <v>18000</v>
      </c>
      <c r="M95" s="26">
        <f t="shared" ref="M95:M96" si="32">L95*G95</f>
        <v>13050</v>
      </c>
      <c r="N95" s="27" t="s">
        <v>80</v>
      </c>
      <c r="O95" s="27" t="s">
        <v>33</v>
      </c>
      <c r="P95" s="26" t="s">
        <v>286</v>
      </c>
      <c r="Q95" s="28">
        <v>35490</v>
      </c>
      <c r="R95" s="28">
        <v>44526</v>
      </c>
      <c r="S95" s="28">
        <v>29144</v>
      </c>
      <c r="T95" s="28">
        <v>42062</v>
      </c>
      <c r="U95" s="28"/>
      <c r="V95" s="28"/>
      <c r="W95" s="28"/>
      <c r="X95" s="28"/>
      <c r="Y95" s="1"/>
      <c r="Z95" s="1"/>
      <c r="AA95" s="29"/>
      <c r="AB95" s="30" t="s">
        <v>134</v>
      </c>
      <c r="AC95" s="31" t="s">
        <v>36</v>
      </c>
      <c r="AD95" s="32" t="s">
        <v>37</v>
      </c>
      <c r="AF95" s="30"/>
      <c r="AG95" s="30"/>
      <c r="AH95" s="30"/>
      <c r="AJ95" s="30"/>
      <c r="AK95" s="30"/>
      <c r="AL95" s="30"/>
      <c r="AM95" s="20" t="s">
        <v>338</v>
      </c>
    </row>
    <row r="96" spans="1:39" s="7" customFormat="1" ht="45" customHeight="1" x14ac:dyDescent="0.2">
      <c r="A96" s="20">
        <v>17</v>
      </c>
      <c r="B96" s="20"/>
      <c r="C96" s="21" t="s">
        <v>130</v>
      </c>
      <c r="D96" s="22" t="s">
        <v>287</v>
      </c>
      <c r="E96" s="23" t="s">
        <v>288</v>
      </c>
      <c r="F96" s="20" t="str">
        <f>DATEDIF(Q96,R96,"y") + DATEDIF(U96,V96,"y") + DATEDIF(W96,X96,"y") + SUM(AF96) &amp; " años " &amp; DATEDIF(Q96,R96,"ym") + DATEDIF(U96,V96,"ym") + DATEDIF(W96,X96,"ym") + SUM(AG96) - SUM(AK96) &amp; " meses " &amp; DATEDIF(Q96,R96,"md") + DATEDIF(U96,V96,"md") + DATEDIF(W96,X96,"md") - SUM(AL96) &amp; " días"</f>
        <v>21 años 9 meses 10 días</v>
      </c>
      <c r="G96" s="24">
        <v>0.65</v>
      </c>
      <c r="H96" s="20" t="str">
        <f>DATEDIF(S96,R96,"y") &amp; " años " &amp; DATEDIF(S96,R96,"ym") &amp; " meses " &amp; DATEDIF(S96,R96,"md") &amp; " días"</f>
        <v>50 años 10 meses 3 días</v>
      </c>
      <c r="I96" s="20" t="str">
        <f t="shared" si="31"/>
        <v>7 años 4 meses 14 días</v>
      </c>
      <c r="J96" s="172"/>
      <c r="K96" s="173"/>
      <c r="L96" s="26">
        <v>25039.85</v>
      </c>
      <c r="M96" s="26">
        <f t="shared" si="32"/>
        <v>16275.9025</v>
      </c>
      <c r="N96" s="27" t="s">
        <v>143</v>
      </c>
      <c r="O96" s="27" t="s">
        <v>42</v>
      </c>
      <c r="P96" s="26" t="s">
        <v>289</v>
      </c>
      <c r="Q96" s="28">
        <v>36800</v>
      </c>
      <c r="R96" s="28">
        <v>44753</v>
      </c>
      <c r="S96" s="28">
        <v>26184</v>
      </c>
      <c r="T96" s="28">
        <v>42062</v>
      </c>
      <c r="U96" s="28"/>
      <c r="V96" s="28"/>
      <c r="W96" s="28"/>
      <c r="X96" s="28"/>
      <c r="Y96" s="1"/>
      <c r="Z96" s="1"/>
      <c r="AA96" s="29"/>
      <c r="AB96" s="30" t="s">
        <v>134</v>
      </c>
      <c r="AC96" s="31" t="s">
        <v>36</v>
      </c>
      <c r="AD96" s="32" t="s">
        <v>37</v>
      </c>
      <c r="AF96" s="30"/>
      <c r="AG96" s="30"/>
      <c r="AH96" s="30"/>
      <c r="AJ96" s="30"/>
      <c r="AK96" s="30"/>
      <c r="AL96" s="30"/>
      <c r="AM96" s="20" t="s">
        <v>338</v>
      </c>
    </row>
    <row r="97" spans="1:49" s="7" customFormat="1" ht="45" customHeight="1" x14ac:dyDescent="0.2">
      <c r="A97" s="20">
        <v>18</v>
      </c>
      <c r="B97" s="20" t="s">
        <v>67</v>
      </c>
      <c r="C97" s="21" t="s">
        <v>145</v>
      </c>
      <c r="D97" s="22" t="s">
        <v>290</v>
      </c>
      <c r="E97" s="23" t="s">
        <v>291</v>
      </c>
      <c r="F97" s="20" t="str">
        <f t="shared" si="30"/>
        <v>21 años 9 meses 4 días</v>
      </c>
      <c r="G97" s="24">
        <v>0.65</v>
      </c>
      <c r="H97" s="20" t="str">
        <f t="shared" si="24"/>
        <v>50 años 1 meses 4 días</v>
      </c>
      <c r="I97" s="20" t="str">
        <f t="shared" si="25"/>
        <v>7 años 10 meses 7 días</v>
      </c>
      <c r="J97" s="172"/>
      <c r="K97" s="173"/>
      <c r="L97" s="26">
        <v>23826.3</v>
      </c>
      <c r="M97" s="26">
        <f t="shared" si="26"/>
        <v>15487.094999999999</v>
      </c>
      <c r="N97" s="27"/>
      <c r="O97" s="27" t="s">
        <v>42</v>
      </c>
      <c r="P97" s="26" t="s">
        <v>292</v>
      </c>
      <c r="Q97" s="28">
        <v>42005</v>
      </c>
      <c r="R97" s="28">
        <v>45294</v>
      </c>
      <c r="S97" s="28">
        <v>26998</v>
      </c>
      <c r="T97" s="28">
        <v>42427</v>
      </c>
      <c r="U97" s="28">
        <v>36861</v>
      </c>
      <c r="V97" s="28">
        <v>41520</v>
      </c>
      <c r="W97" s="28"/>
      <c r="X97" s="28"/>
      <c r="Y97" s="1"/>
      <c r="Z97" s="1"/>
      <c r="AA97" s="29"/>
      <c r="AB97" s="30" t="s">
        <v>293</v>
      </c>
      <c r="AC97" s="31" t="s">
        <v>36</v>
      </c>
      <c r="AD97" s="32" t="s">
        <v>37</v>
      </c>
      <c r="AF97" s="30"/>
      <c r="AG97" s="30"/>
      <c r="AH97" s="30"/>
      <c r="AJ97" s="30"/>
      <c r="AK97" s="30"/>
      <c r="AL97" s="30"/>
      <c r="AM97" s="20" t="s">
        <v>336</v>
      </c>
    </row>
    <row r="98" spans="1:49" s="7" customFormat="1" ht="45" customHeight="1" x14ac:dyDescent="0.2">
      <c r="A98" s="20">
        <v>19</v>
      </c>
      <c r="B98" s="20" t="s">
        <v>294</v>
      </c>
      <c r="C98" s="21" t="s">
        <v>295</v>
      </c>
      <c r="D98" s="22" t="s">
        <v>296</v>
      </c>
      <c r="E98" s="23" t="s">
        <v>297</v>
      </c>
      <c r="F98" s="20" t="str">
        <f t="shared" si="30"/>
        <v>22 años 10 meses 2 días</v>
      </c>
      <c r="G98" s="24">
        <v>0.67500000000000004</v>
      </c>
      <c r="H98" s="20" t="str">
        <f t="shared" si="24"/>
        <v>64 años 1 meses 13 días</v>
      </c>
      <c r="I98" s="20"/>
      <c r="J98" s="172"/>
      <c r="K98" s="173"/>
      <c r="L98" s="26">
        <v>11600</v>
      </c>
      <c r="M98" s="26">
        <v>10000</v>
      </c>
      <c r="N98" s="27"/>
      <c r="O98" s="27" t="s">
        <v>298</v>
      </c>
      <c r="P98" s="26" t="s">
        <v>299</v>
      </c>
      <c r="Q98" s="28">
        <v>36951</v>
      </c>
      <c r="R98" s="28">
        <v>45294</v>
      </c>
      <c r="S98" s="28">
        <v>21875</v>
      </c>
      <c r="T98" s="28"/>
      <c r="U98" s="28"/>
      <c r="V98" s="28"/>
      <c r="W98" s="28"/>
      <c r="X98" s="28"/>
      <c r="Y98" s="1"/>
      <c r="Z98" s="1"/>
      <c r="AA98" s="29"/>
      <c r="AB98" s="30" t="s">
        <v>293</v>
      </c>
      <c r="AC98" s="31" t="s">
        <v>36</v>
      </c>
      <c r="AD98" s="32" t="s">
        <v>37</v>
      </c>
      <c r="AF98" s="30"/>
      <c r="AG98" s="30"/>
      <c r="AH98" s="30"/>
      <c r="AJ98" s="30"/>
      <c r="AK98" s="30"/>
      <c r="AL98" s="30"/>
      <c r="AM98" s="20" t="s">
        <v>336</v>
      </c>
    </row>
    <row r="99" spans="1:49" s="7" customFormat="1" ht="45" customHeight="1" x14ac:dyDescent="0.2">
      <c r="A99" s="20">
        <v>20</v>
      </c>
      <c r="B99" s="20" t="s">
        <v>67</v>
      </c>
      <c r="C99" s="21" t="s">
        <v>300</v>
      </c>
      <c r="D99" s="22" t="s">
        <v>301</v>
      </c>
      <c r="E99" s="23" t="s">
        <v>302</v>
      </c>
      <c r="F99" s="20" t="str">
        <f t="shared" si="30"/>
        <v>21 años 6 meses 9 días</v>
      </c>
      <c r="G99" s="24">
        <v>0.65</v>
      </c>
      <c r="H99" s="20" t="str">
        <f t="shared" si="24"/>
        <v>54 años 5 meses 16 días</v>
      </c>
      <c r="I99" s="20"/>
      <c r="J99" s="172"/>
      <c r="K99" s="173"/>
      <c r="L99" s="26">
        <v>11000</v>
      </c>
      <c r="M99" s="26">
        <v>10000</v>
      </c>
      <c r="N99" s="27"/>
      <c r="O99" s="27" t="s">
        <v>298</v>
      </c>
      <c r="P99" s="26" t="s">
        <v>303</v>
      </c>
      <c r="Q99" s="28">
        <v>38777</v>
      </c>
      <c r="R99" s="28">
        <v>45294</v>
      </c>
      <c r="S99" s="28">
        <v>25402</v>
      </c>
      <c r="T99" s="28"/>
      <c r="U99" s="28">
        <v>32964</v>
      </c>
      <c r="V99" s="28">
        <v>34311</v>
      </c>
      <c r="W99" s="28"/>
      <c r="X99" s="28"/>
      <c r="Y99" s="1"/>
      <c r="Z99" s="1"/>
      <c r="AA99" s="29"/>
      <c r="AB99" s="30" t="s">
        <v>268</v>
      </c>
      <c r="AC99" s="31" t="s">
        <v>36</v>
      </c>
      <c r="AD99" s="32" t="s">
        <v>37</v>
      </c>
      <c r="AF99" s="30">
        <v>1</v>
      </c>
      <c r="AG99" s="30"/>
      <c r="AH99" s="30"/>
      <c r="AJ99" s="30"/>
      <c r="AK99" s="30">
        <v>12</v>
      </c>
      <c r="AL99" s="30"/>
      <c r="AM99" s="20" t="s">
        <v>336</v>
      </c>
    </row>
    <row r="100" spans="1:49" s="7" customFormat="1" ht="45" customHeight="1" x14ac:dyDescent="0.2">
      <c r="A100" s="20">
        <v>21</v>
      </c>
      <c r="B100" s="20"/>
      <c r="C100" s="21" t="s">
        <v>295</v>
      </c>
      <c r="D100" s="22" t="s">
        <v>304</v>
      </c>
      <c r="E100" s="23" t="s">
        <v>305</v>
      </c>
      <c r="F100" s="20" t="str">
        <f t="shared" ref="F100:F101" si="33">DATEDIF(Q100,R100,"y") + DATEDIF(U100,V100,"y") + DATEDIF(W100,X100,"y") + SUM(AF100) &amp; " años " &amp; DATEDIF(Q100,R100,"ym") + DATEDIF(U100,V100,"ym") + DATEDIF(W100,X100,"ym") + SUM(AG100) - SUM(AK100) &amp; " meses " &amp; DATEDIF(Q100,R100,"md") + DATEDIF(U100,V100,"md") + DATEDIF(W100,X100,"md") - SUM(AL100) &amp; " días"</f>
        <v>30 años 10 meses 7 días</v>
      </c>
      <c r="G100" s="24">
        <v>1</v>
      </c>
      <c r="H100" s="20" t="str">
        <f t="shared" si="24"/>
        <v>68 años 6 meses 0 días</v>
      </c>
      <c r="I100" s="20"/>
      <c r="J100" s="172"/>
      <c r="K100" s="173"/>
      <c r="L100" s="26">
        <v>15600</v>
      </c>
      <c r="M100" s="26">
        <f t="shared" ref="M100:M101" si="34">L100*G100</f>
        <v>15600</v>
      </c>
      <c r="N100" s="27" t="s">
        <v>205</v>
      </c>
      <c r="O100" s="27" t="s">
        <v>33</v>
      </c>
      <c r="P100" s="26" t="s">
        <v>306</v>
      </c>
      <c r="Q100" s="28">
        <v>34027</v>
      </c>
      <c r="R100" s="28">
        <v>45294</v>
      </c>
      <c r="S100" s="28">
        <v>20273</v>
      </c>
      <c r="T100" s="28"/>
      <c r="U100" s="28"/>
      <c r="V100" s="28"/>
      <c r="W100" s="28"/>
      <c r="X100" s="28"/>
      <c r="Y100" s="1"/>
      <c r="Z100" s="1"/>
      <c r="AA100" s="29"/>
      <c r="AB100" s="30" t="s">
        <v>134</v>
      </c>
      <c r="AC100" s="31" t="s">
        <v>36</v>
      </c>
      <c r="AD100" s="32" t="s">
        <v>37</v>
      </c>
      <c r="AF100" s="30"/>
      <c r="AG100" s="30"/>
      <c r="AH100" s="30"/>
      <c r="AJ100" s="30"/>
      <c r="AK100" s="30"/>
      <c r="AL100" s="30"/>
      <c r="AM100" s="20" t="s">
        <v>337</v>
      </c>
    </row>
    <row r="101" spans="1:49" s="7" customFormat="1" ht="45" customHeight="1" x14ac:dyDescent="0.2">
      <c r="A101" s="20">
        <v>22</v>
      </c>
      <c r="B101" s="20"/>
      <c r="C101" s="21" t="s">
        <v>295</v>
      </c>
      <c r="D101" s="22" t="s">
        <v>307</v>
      </c>
      <c r="E101" s="23" t="s">
        <v>308</v>
      </c>
      <c r="F101" s="20" t="str">
        <f t="shared" si="33"/>
        <v>22 años 10 meses 2 días</v>
      </c>
      <c r="G101" s="24">
        <v>1</v>
      </c>
      <c r="H101" s="20" t="str">
        <f t="shared" si="24"/>
        <v>66 años 1 meses 25 días</v>
      </c>
      <c r="I101" s="20"/>
      <c r="J101" s="172"/>
      <c r="K101" s="173"/>
      <c r="L101" s="26">
        <v>11600</v>
      </c>
      <c r="M101" s="26">
        <f t="shared" si="34"/>
        <v>11600</v>
      </c>
      <c r="N101" s="27" t="s">
        <v>205</v>
      </c>
      <c r="O101" s="27" t="s">
        <v>33</v>
      </c>
      <c r="P101" s="26" t="s">
        <v>309</v>
      </c>
      <c r="Q101" s="28">
        <v>36951</v>
      </c>
      <c r="R101" s="28">
        <v>45294</v>
      </c>
      <c r="S101" s="28">
        <v>21133</v>
      </c>
      <c r="T101" s="28"/>
      <c r="U101" s="28"/>
      <c r="V101" s="28"/>
      <c r="W101" s="28"/>
      <c r="X101" s="28"/>
      <c r="Y101" s="1"/>
      <c r="Z101" s="1"/>
      <c r="AA101" s="29"/>
      <c r="AB101" s="30" t="s">
        <v>134</v>
      </c>
      <c r="AC101" s="31" t="s">
        <v>36</v>
      </c>
      <c r="AD101" s="32" t="s">
        <v>37</v>
      </c>
      <c r="AF101" s="30"/>
      <c r="AG101" s="30"/>
      <c r="AH101" s="30"/>
      <c r="AJ101" s="30"/>
      <c r="AK101" s="30"/>
      <c r="AL101" s="30"/>
      <c r="AM101" s="20" t="s">
        <v>337</v>
      </c>
    </row>
    <row r="102" spans="1:49" s="7" customFormat="1" ht="45" customHeight="1" x14ac:dyDescent="0.2">
      <c r="A102" s="20">
        <v>23</v>
      </c>
      <c r="B102" s="20"/>
      <c r="C102" s="21" t="s">
        <v>230</v>
      </c>
      <c r="D102" s="22" t="s">
        <v>310</v>
      </c>
      <c r="E102" s="23" t="s">
        <v>311</v>
      </c>
      <c r="F102" s="20" t="str">
        <f t="shared" ref="F102:F103" si="35">DATEDIF(Q102,R102,"y") + DATEDIF(U102,V102,"y") + DATEDIF(W102,X102,"y") + SUM(AF102) &amp; " años " &amp; DATEDIF(Q102,R102,"ym") + DATEDIF(U102,V102,"ym") + DATEDIF(W102,X102,"ym") + SUM(AG102) - SUM(AK102) &amp; " meses " &amp; DATEDIF(Q102,R102,"md") + DATEDIF(U102,V102,"md") + DATEDIF(W102,X102,"md") - SUM(AL102) &amp; " días"</f>
        <v>19 años 8 meses 23 días</v>
      </c>
      <c r="G102" s="24">
        <v>0.6</v>
      </c>
      <c r="H102" s="20" t="str">
        <f t="shared" si="24"/>
        <v>56 años 2 meses 3 días</v>
      </c>
      <c r="I102" s="20"/>
      <c r="J102" s="172"/>
      <c r="K102" s="173"/>
      <c r="L102" s="26"/>
      <c r="M102" s="26">
        <v>10000</v>
      </c>
      <c r="N102" s="27" t="s">
        <v>80</v>
      </c>
      <c r="O102" s="27" t="s">
        <v>33</v>
      </c>
      <c r="P102" s="26" t="s">
        <v>312</v>
      </c>
      <c r="Q102" s="28">
        <v>37314</v>
      </c>
      <c r="R102" s="28">
        <v>44519</v>
      </c>
      <c r="S102" s="28">
        <v>24001</v>
      </c>
      <c r="T102" s="28"/>
      <c r="U102" s="28"/>
      <c r="V102" s="28"/>
      <c r="W102" s="28"/>
      <c r="X102" s="28"/>
      <c r="Y102" s="1"/>
      <c r="Z102" s="1"/>
      <c r="AA102" s="29"/>
      <c r="AB102" s="30" t="s">
        <v>134</v>
      </c>
      <c r="AC102" s="31" t="s">
        <v>36</v>
      </c>
      <c r="AD102" s="32" t="s">
        <v>37</v>
      </c>
      <c r="AF102" s="30"/>
      <c r="AG102" s="30"/>
      <c r="AH102" s="30"/>
      <c r="AJ102" s="30"/>
      <c r="AK102" s="30"/>
      <c r="AL102" s="30"/>
      <c r="AM102" s="20" t="s">
        <v>338</v>
      </c>
    </row>
    <row r="103" spans="1:49" s="7" customFormat="1" ht="45" customHeight="1" x14ac:dyDescent="0.2">
      <c r="A103" s="20">
        <v>24</v>
      </c>
      <c r="B103" s="20"/>
      <c r="C103" s="21" t="s">
        <v>230</v>
      </c>
      <c r="D103" s="22" t="s">
        <v>313</v>
      </c>
      <c r="E103" s="23" t="s">
        <v>314</v>
      </c>
      <c r="F103" s="20" t="str">
        <f t="shared" si="35"/>
        <v>20 años 10 meses 27 días</v>
      </c>
      <c r="G103" s="24">
        <v>0.625</v>
      </c>
      <c r="H103" s="20" t="str">
        <f t="shared" si="24"/>
        <v>51 años 10 meses 25 días</v>
      </c>
      <c r="I103" s="20"/>
      <c r="J103" s="172"/>
      <c r="K103" s="173"/>
      <c r="L103" s="26">
        <v>9500</v>
      </c>
      <c r="M103" s="26">
        <v>10000</v>
      </c>
      <c r="N103" s="27" t="s">
        <v>80</v>
      </c>
      <c r="O103" s="27" t="s">
        <v>33</v>
      </c>
      <c r="P103" s="26" t="s">
        <v>315</v>
      </c>
      <c r="Q103" s="28">
        <v>37033</v>
      </c>
      <c r="R103" s="28">
        <v>44669</v>
      </c>
      <c r="S103" s="28">
        <v>25712</v>
      </c>
      <c r="T103" s="28"/>
      <c r="U103" s="28"/>
      <c r="V103" s="28"/>
      <c r="W103" s="28"/>
      <c r="X103" s="28"/>
      <c r="Y103" s="1"/>
      <c r="Z103" s="1"/>
      <c r="AA103" s="29"/>
      <c r="AB103" s="30" t="s">
        <v>134</v>
      </c>
      <c r="AC103" s="31" t="s">
        <v>36</v>
      </c>
      <c r="AD103" s="32" t="s">
        <v>37</v>
      </c>
      <c r="AF103" s="30"/>
      <c r="AG103" s="30"/>
      <c r="AH103" s="30"/>
      <c r="AJ103" s="30"/>
      <c r="AK103" s="30"/>
      <c r="AL103" s="30"/>
      <c r="AM103" s="20" t="s">
        <v>338</v>
      </c>
    </row>
    <row r="104" spans="1:49" s="1" customFormat="1" ht="12.75" customHeight="1" x14ac:dyDescent="0.2"/>
    <row r="105" spans="1:49" s="1" customFormat="1" ht="12.75" x14ac:dyDescent="0.2">
      <c r="A105" s="168" t="s">
        <v>316</v>
      </c>
      <c r="B105" s="168"/>
      <c r="C105" s="16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  <c r="V105" s="168"/>
      <c r="W105" s="168"/>
      <c r="X105" s="168"/>
      <c r="Y105" s="168"/>
      <c r="Z105" s="168"/>
      <c r="AA105" s="168"/>
      <c r="AB105" s="168"/>
      <c r="AC105" s="168"/>
      <c r="AD105" s="168"/>
      <c r="AE105" s="168"/>
      <c r="AF105" s="168"/>
      <c r="AG105" s="168"/>
      <c r="AH105" s="168"/>
      <c r="AI105" s="168"/>
      <c r="AJ105" s="168"/>
      <c r="AK105" s="168"/>
      <c r="AL105" s="168"/>
      <c r="AM105" s="168"/>
      <c r="AN105" s="6"/>
      <c r="AO105" s="6"/>
      <c r="AP105" s="6"/>
      <c r="AQ105" s="6"/>
    </row>
    <row r="106" spans="1:49" s="19" customFormat="1" ht="25.5" x14ac:dyDescent="0.2">
      <c r="A106" s="54" t="s">
        <v>4</v>
      </c>
      <c r="B106" s="54" t="s">
        <v>5</v>
      </c>
      <c r="C106" s="55" t="s">
        <v>6</v>
      </c>
      <c r="D106" s="55" t="s">
        <v>7</v>
      </c>
      <c r="E106" s="176" t="s">
        <v>8</v>
      </c>
      <c r="F106" s="177" t="s">
        <v>9</v>
      </c>
      <c r="G106" s="56" t="s">
        <v>10</v>
      </c>
      <c r="H106" s="55" t="s">
        <v>11</v>
      </c>
      <c r="I106" s="11" t="s">
        <v>317</v>
      </c>
      <c r="J106" s="176" t="s">
        <v>13</v>
      </c>
      <c r="K106" s="177"/>
      <c r="L106" s="57"/>
      <c r="M106" s="58" t="s">
        <v>15</v>
      </c>
      <c r="N106" s="58" t="s">
        <v>16</v>
      </c>
      <c r="O106" s="58" t="s">
        <v>17</v>
      </c>
      <c r="P106" s="58" t="s">
        <v>185</v>
      </c>
      <c r="Q106" s="59" t="s">
        <v>19</v>
      </c>
      <c r="R106" s="59" t="s">
        <v>20</v>
      </c>
      <c r="S106" s="60" t="s">
        <v>21</v>
      </c>
      <c r="T106" s="55" t="s">
        <v>13</v>
      </c>
      <c r="U106" s="59" t="s">
        <v>19</v>
      </c>
      <c r="V106" s="59" t="s">
        <v>20</v>
      </c>
      <c r="W106" s="59" t="s">
        <v>19</v>
      </c>
      <c r="X106" s="59" t="s">
        <v>20</v>
      </c>
      <c r="Y106" s="1"/>
      <c r="Z106" s="1"/>
      <c r="AA106" s="16"/>
      <c r="AB106" s="61" t="s">
        <v>22</v>
      </c>
      <c r="AC106" s="61" t="s">
        <v>23</v>
      </c>
      <c r="AD106" s="61" t="s">
        <v>24</v>
      </c>
      <c r="AE106" s="7"/>
      <c r="AF106" s="62" t="s">
        <v>25</v>
      </c>
      <c r="AG106" s="62" t="s">
        <v>26</v>
      </c>
      <c r="AH106" s="62" t="s">
        <v>27</v>
      </c>
      <c r="AI106" s="7"/>
      <c r="AJ106" s="62" t="s">
        <v>25</v>
      </c>
      <c r="AK106" s="62" t="s">
        <v>26</v>
      </c>
      <c r="AL106" s="62" t="s">
        <v>28</v>
      </c>
      <c r="AM106" s="55" t="s">
        <v>335</v>
      </c>
    </row>
    <row r="107" spans="1:49" s="7" customFormat="1" ht="45" customHeight="1" x14ac:dyDescent="0.2">
      <c r="A107" s="20">
        <v>1</v>
      </c>
      <c r="B107" s="20" t="s">
        <v>63</v>
      </c>
      <c r="C107" s="21" t="s">
        <v>300</v>
      </c>
      <c r="D107" s="22" t="s">
        <v>318</v>
      </c>
      <c r="E107" s="23" t="s">
        <v>319</v>
      </c>
      <c r="F107" s="20" t="str">
        <f>DATEDIF(Q107,R107,"y") + DATEDIF(U107,V107,"y") + DATEDIF(W107,X107,"y") + SUM(AF107) &amp; " años " &amp; DATEDIF(Q107,R107,"ym") + DATEDIF(U107,V107,"ym") + DATEDIF(W107,X107,"ym") + SUM(AG107) - SUM(AK107) &amp; " meses " &amp; DATEDIF(Q107,R107,"md") + DATEDIF(U107,V107,"md") + DATEDIF(W107,X107,"md") - SUM(AL107) &amp; " días"</f>
        <v>19 años 8 meses 19 días</v>
      </c>
      <c r="G107" s="24">
        <v>0.6</v>
      </c>
      <c r="H107" s="20" t="str">
        <f>DATEDIF(S107,R107,"y") &amp; " años " &amp; DATEDIF(S107,R107,"ym") &amp; " meses " &amp; DATEDIF(S107,R107,"md") &amp; " días"</f>
        <v>45 años 11 meses 7 días</v>
      </c>
      <c r="I107" s="20"/>
      <c r="J107" s="172"/>
      <c r="K107" s="173"/>
      <c r="L107" s="26">
        <v>10000</v>
      </c>
      <c r="M107" s="26">
        <v>10000</v>
      </c>
      <c r="N107" s="27" t="s">
        <v>320</v>
      </c>
      <c r="O107" s="27"/>
      <c r="P107" s="26"/>
      <c r="Q107" s="28">
        <v>38092</v>
      </c>
      <c r="R107" s="28">
        <v>45294</v>
      </c>
      <c r="S107" s="28">
        <v>28517</v>
      </c>
      <c r="T107" s="28"/>
      <c r="U107" s="28"/>
      <c r="V107" s="28"/>
      <c r="W107" s="28"/>
      <c r="X107" s="28"/>
      <c r="Y107" s="1"/>
      <c r="Z107" s="1"/>
      <c r="AA107" s="29"/>
      <c r="AB107" s="30" t="s">
        <v>48</v>
      </c>
      <c r="AC107" s="31" t="s">
        <v>36</v>
      </c>
      <c r="AD107" s="32" t="s">
        <v>37</v>
      </c>
      <c r="AF107" s="30"/>
      <c r="AG107" s="30"/>
      <c r="AH107" s="30"/>
      <c r="AJ107" s="30"/>
      <c r="AK107" s="30"/>
      <c r="AL107" s="30"/>
      <c r="AM107" s="20" t="s">
        <v>336</v>
      </c>
    </row>
    <row r="108" spans="1:49" s="7" customFormat="1" ht="45" customHeight="1" x14ac:dyDescent="0.2">
      <c r="A108" s="20">
        <v>2</v>
      </c>
      <c r="B108" s="20"/>
      <c r="C108" s="21" t="s">
        <v>295</v>
      </c>
      <c r="D108" s="22" t="s">
        <v>321</v>
      </c>
      <c r="E108" s="23" t="s">
        <v>322</v>
      </c>
      <c r="F108" s="20" t="str">
        <f>DATEDIF(Q108,R108,"y") + DATEDIF(U108,V108,"y") + DATEDIF(W108,X108,"y") + SUM(AF108) &amp; " años " &amp; DATEDIF(Q108,R108,"ym") + DATEDIF(U108,V108,"ym") + DATEDIF(W108,X108,"ym") + SUM(AG108) - SUM(AK108) &amp; " meses " &amp; DATEDIF(Q108,R108,"md") + DATEDIF(U108,V108,"md") + DATEDIF(W108,X108,"md") - SUM(AL108) &amp; " días"</f>
        <v>29 años 11 meses 1 días</v>
      </c>
      <c r="G108" s="24">
        <v>1</v>
      </c>
      <c r="H108" s="20" t="str">
        <f>DATEDIF(S108,R108,"y") &amp; " años " &amp; DATEDIF(S108,R108,"ym") &amp; " meses " &amp; DATEDIF(S108,R108,"md") &amp; " días"</f>
        <v>65 años 8 meses 28 días</v>
      </c>
      <c r="I108" s="20"/>
      <c r="J108" s="172"/>
      <c r="K108" s="173"/>
      <c r="L108" s="26">
        <v>10939.16</v>
      </c>
      <c r="M108" s="26">
        <f>L108*G108</f>
        <v>10939.16</v>
      </c>
      <c r="N108" s="27" t="s">
        <v>205</v>
      </c>
      <c r="O108" s="27" t="s">
        <v>33</v>
      </c>
      <c r="P108" s="26" t="s">
        <v>323</v>
      </c>
      <c r="Q108" s="28">
        <v>37798</v>
      </c>
      <c r="R108" s="28">
        <v>45294</v>
      </c>
      <c r="S108" s="28">
        <v>21281</v>
      </c>
      <c r="T108" s="28">
        <v>37798</v>
      </c>
      <c r="U108" s="28">
        <v>34368</v>
      </c>
      <c r="V108" s="28">
        <v>37798</v>
      </c>
      <c r="W108" s="28"/>
      <c r="X108" s="28"/>
      <c r="Y108" s="1"/>
      <c r="Z108" s="1"/>
      <c r="AA108" s="29"/>
      <c r="AB108" s="30" t="s">
        <v>134</v>
      </c>
      <c r="AC108" s="31" t="s">
        <v>36</v>
      </c>
      <c r="AD108" s="32" t="s">
        <v>37</v>
      </c>
      <c r="AF108" s="30"/>
      <c r="AG108" s="30">
        <v>1</v>
      </c>
      <c r="AH108" s="30"/>
      <c r="AJ108" s="30"/>
      <c r="AK108" s="30"/>
      <c r="AL108" s="30">
        <v>30</v>
      </c>
      <c r="AM108" s="20" t="s">
        <v>337</v>
      </c>
    </row>
    <row r="109" spans="1:49" s="7" customFormat="1" ht="45" customHeight="1" x14ac:dyDescent="0.2">
      <c r="A109" s="20">
        <v>3</v>
      </c>
      <c r="B109" s="20"/>
      <c r="C109" s="21" t="s">
        <v>295</v>
      </c>
      <c r="D109" s="22" t="s">
        <v>324</v>
      </c>
      <c r="E109" s="23" t="s">
        <v>325</v>
      </c>
      <c r="F109" s="20" t="str">
        <f>DATEDIF(Q109,R109,"y") + DATEDIF(U109,V109,"y") + DATEDIF(W109,X109,"y") + SUM(AF109) &amp; " años " &amp; DATEDIF(Q109,R109,"ym") + DATEDIF(U109,V109,"ym") + DATEDIF(W109,X109,"ym") + SUM(AG109) - SUM(AK109) &amp; " meses " &amp; DATEDIF(Q109,R109,"md") + DATEDIF(U109,V109,"md") + DATEDIF(W109,X109,"md") - SUM(AL109) &amp; " días"</f>
        <v>18 años 4 meses 22 días</v>
      </c>
      <c r="G109" s="24">
        <v>1</v>
      </c>
      <c r="H109" s="20" t="str">
        <f>DATEDIF(S109,R109,"y") &amp; " años " &amp; DATEDIF(S109,R109,"ym") &amp; " meses " &amp; DATEDIF(S109,R109,"md") &amp; " días"</f>
        <v>87 años 11 meses 21 días</v>
      </c>
      <c r="I109" s="20"/>
      <c r="J109" s="172"/>
      <c r="K109" s="173"/>
      <c r="L109" s="26"/>
      <c r="M109" s="26">
        <v>10000</v>
      </c>
      <c r="N109" s="27" t="s">
        <v>205</v>
      </c>
      <c r="O109" s="27" t="s">
        <v>33</v>
      </c>
      <c r="P109" s="26" t="s">
        <v>326</v>
      </c>
      <c r="Q109" s="28">
        <v>38576</v>
      </c>
      <c r="R109" s="28">
        <v>45294</v>
      </c>
      <c r="S109" s="28">
        <v>13162</v>
      </c>
      <c r="T109" s="28"/>
      <c r="U109" s="28"/>
      <c r="V109" s="28"/>
      <c r="W109" s="28"/>
      <c r="X109" s="28"/>
      <c r="Y109" s="1"/>
      <c r="Z109" s="1"/>
      <c r="AA109" s="29"/>
      <c r="AB109" s="30" t="s">
        <v>134</v>
      </c>
      <c r="AC109" s="31" t="s">
        <v>36</v>
      </c>
      <c r="AD109" s="32" t="s">
        <v>37</v>
      </c>
      <c r="AF109" s="30"/>
      <c r="AG109" s="30"/>
      <c r="AH109" s="30"/>
      <c r="AJ109" s="30"/>
      <c r="AK109" s="30"/>
      <c r="AL109" s="30"/>
      <c r="AM109" s="20" t="s">
        <v>337</v>
      </c>
    </row>
    <row r="110" spans="1:49" s="7" customFormat="1" ht="45" customHeight="1" x14ac:dyDescent="0.2">
      <c r="A110" s="20">
        <v>4</v>
      </c>
      <c r="B110" s="20"/>
      <c r="C110" s="21" t="s">
        <v>230</v>
      </c>
      <c r="D110" s="22" t="s">
        <v>327</v>
      </c>
      <c r="E110" s="23" t="s">
        <v>328</v>
      </c>
      <c r="F110" s="20" t="str">
        <f>DATEDIF(Q110,R110,"y") + DATEDIF(U110,V110,"y") + DATEDIF(W110,X110,"y") + SUM(AF110) &amp; " años " &amp; DATEDIF(Q110,R110,"ym") + DATEDIF(U110,V110,"ym") + DATEDIF(W110,X110,"ym") + SUM(AG110) - SUM(AK110) &amp; " meses " &amp; DATEDIF(Q110,R110,"md") + DATEDIF(U110,V110,"md") + DATEDIF(W110,X110,"md") - SUM(AL110) &amp; " días"</f>
        <v>21 años 9 meses 22 días</v>
      </c>
      <c r="G110" s="24">
        <v>0.65</v>
      </c>
      <c r="H110" s="20" t="str">
        <f>DATEDIF(S110,R110,"y") &amp; " años " &amp; DATEDIF(S110,R110,"ym") &amp; " meses " &amp; DATEDIF(S110,R110,"md") &amp; " días"</f>
        <v>43 años 3 meses 0 días</v>
      </c>
      <c r="I110" s="20"/>
      <c r="J110" s="172"/>
      <c r="K110" s="173"/>
      <c r="L110" s="26">
        <v>20000</v>
      </c>
      <c r="M110" s="26">
        <f>L110*G110</f>
        <v>13000</v>
      </c>
      <c r="N110" s="27" t="s">
        <v>80</v>
      </c>
      <c r="O110" s="27" t="s">
        <v>33</v>
      </c>
      <c r="P110" s="26" t="s">
        <v>329</v>
      </c>
      <c r="Q110" s="28">
        <v>38126</v>
      </c>
      <c r="R110" s="28">
        <v>44887</v>
      </c>
      <c r="S110" s="28">
        <v>29089</v>
      </c>
      <c r="T110" s="28"/>
      <c r="U110" s="28">
        <v>36691</v>
      </c>
      <c r="V110" s="28">
        <v>37897</v>
      </c>
      <c r="W110" s="28"/>
      <c r="X110" s="28"/>
      <c r="Y110" s="1"/>
      <c r="Z110" s="1"/>
      <c r="AA110" s="29"/>
      <c r="AB110" s="30" t="s">
        <v>134</v>
      </c>
      <c r="AC110" s="31" t="s">
        <v>36</v>
      </c>
      <c r="AD110" s="32" t="s">
        <v>37</v>
      </c>
      <c r="AF110" s="30"/>
      <c r="AG110" s="30"/>
      <c r="AH110" s="30"/>
      <c r="AJ110" s="30"/>
      <c r="AK110" s="30"/>
      <c r="AL110" s="30"/>
      <c r="AM110" s="20" t="s">
        <v>338</v>
      </c>
    </row>
    <row r="111" spans="1:49" s="5" customFormat="1" ht="12.75" x14ac:dyDescent="0.2">
      <c r="A111" s="33"/>
      <c r="B111" s="34"/>
      <c r="C111" s="35"/>
      <c r="D111" s="36"/>
      <c r="E111" s="36"/>
      <c r="F111" s="37"/>
      <c r="G111" s="38"/>
      <c r="H111" s="38"/>
      <c r="I111" s="39"/>
      <c r="J111" s="40"/>
      <c r="K111" s="4"/>
      <c r="L111" s="4"/>
      <c r="M111" s="4"/>
      <c r="N111" s="4"/>
      <c r="AR111" s="40"/>
    </row>
    <row r="112" spans="1:49" s="5" customFormat="1" ht="12.75" x14ac:dyDescent="0.2">
      <c r="A112" s="33"/>
      <c r="B112" s="34"/>
      <c r="C112" s="35"/>
      <c r="D112" s="36"/>
      <c r="E112" s="36"/>
      <c r="F112" s="37"/>
      <c r="G112" s="38"/>
      <c r="H112" s="38"/>
      <c r="I112" s="39"/>
      <c r="J112" s="40"/>
      <c r="K112" s="4"/>
      <c r="L112" s="4"/>
      <c r="M112" s="4"/>
      <c r="N112" s="4"/>
      <c r="AR112" s="40"/>
      <c r="AW112" s="1"/>
    </row>
    <row r="113" spans="1:50" s="5" customFormat="1" ht="12.75" x14ac:dyDescent="0.2">
      <c r="A113" s="33"/>
      <c r="B113" s="34"/>
      <c r="C113" s="35"/>
      <c r="D113" s="36"/>
      <c r="E113" s="36"/>
      <c r="F113" s="37"/>
      <c r="G113" s="38"/>
      <c r="H113" s="38"/>
      <c r="I113" s="39"/>
      <c r="J113" s="40"/>
      <c r="K113" s="4"/>
      <c r="L113" s="4"/>
      <c r="M113" s="4"/>
      <c r="N113" s="4"/>
      <c r="AR113" s="40"/>
      <c r="AX113" s="41"/>
    </row>
    <row r="114" spans="1:50" s="5" customFormat="1" ht="12.75" x14ac:dyDescent="0.2">
      <c r="A114" s="33"/>
      <c r="B114" s="34"/>
      <c r="C114" s="35"/>
      <c r="D114" s="36"/>
      <c r="E114" s="36"/>
      <c r="F114" s="37"/>
      <c r="G114" s="38"/>
      <c r="H114" s="38"/>
      <c r="I114" s="39"/>
      <c r="J114" s="40"/>
      <c r="K114" s="4"/>
      <c r="L114" s="4"/>
      <c r="M114" s="4"/>
      <c r="N114" s="4"/>
      <c r="AR114" s="40"/>
    </row>
    <row r="115" spans="1:50" s="5" customFormat="1" ht="12.75" x14ac:dyDescent="0.2">
      <c r="A115" s="33"/>
      <c r="B115" s="34"/>
      <c r="C115" s="35"/>
      <c r="D115" s="36"/>
      <c r="E115" s="36"/>
      <c r="F115" s="37"/>
      <c r="G115" s="38"/>
      <c r="H115" s="38"/>
      <c r="I115" s="39"/>
      <c r="J115" s="40"/>
      <c r="K115" s="4"/>
      <c r="L115" s="4"/>
      <c r="M115" s="4"/>
      <c r="N115" s="4"/>
      <c r="AR115" s="40"/>
    </row>
    <row r="116" spans="1:50" s="5" customFormat="1" ht="12.75" x14ac:dyDescent="0.2">
      <c r="A116" s="174" t="s">
        <v>330</v>
      </c>
      <c r="B116" s="174"/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4"/>
      <c r="AG116" s="174"/>
      <c r="AH116" s="174"/>
      <c r="AI116" s="174"/>
      <c r="AJ116" s="174"/>
      <c r="AK116" s="174"/>
      <c r="AL116" s="174"/>
      <c r="AM116" s="174"/>
    </row>
    <row r="117" spans="1:50" s="5" customFormat="1" ht="12.75" x14ac:dyDescent="0.2">
      <c r="A117" s="175" t="s">
        <v>331</v>
      </c>
      <c r="B117" s="175"/>
      <c r="C117" s="175"/>
      <c r="D117" s="175"/>
      <c r="E117" s="175"/>
      <c r="F117" s="175"/>
      <c r="G117" s="175"/>
      <c r="H117" s="175"/>
      <c r="I117" s="175"/>
      <c r="J117" s="175"/>
      <c r="K117" s="175"/>
      <c r="L117" s="175"/>
      <c r="M117" s="175"/>
      <c r="N117" s="175"/>
      <c r="O117" s="175"/>
      <c r="P117" s="175"/>
      <c r="Q117" s="175"/>
      <c r="R117" s="175"/>
      <c r="S117" s="175"/>
      <c r="T117" s="175"/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  <c r="AF117" s="175"/>
      <c r="AG117" s="175"/>
      <c r="AH117" s="175"/>
      <c r="AI117" s="175"/>
      <c r="AJ117" s="175"/>
      <c r="AK117" s="175"/>
      <c r="AL117" s="175"/>
      <c r="AM117" s="175"/>
    </row>
    <row r="118" spans="1:50" s="5" customFormat="1" ht="12.75" x14ac:dyDescent="0.2">
      <c r="A118" s="175" t="s">
        <v>332</v>
      </c>
      <c r="B118" s="175"/>
      <c r="C118" s="175"/>
      <c r="D118" s="175"/>
      <c r="E118" s="175"/>
      <c r="F118" s="175"/>
      <c r="G118" s="175"/>
      <c r="H118" s="175"/>
      <c r="I118" s="175"/>
      <c r="J118" s="175"/>
      <c r="K118" s="175"/>
      <c r="L118" s="175"/>
      <c r="M118" s="175"/>
      <c r="N118" s="175"/>
      <c r="O118" s="175"/>
      <c r="P118" s="175"/>
      <c r="Q118" s="175"/>
      <c r="R118" s="175"/>
      <c r="S118" s="175"/>
      <c r="T118" s="175"/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  <c r="AF118" s="175"/>
      <c r="AG118" s="175"/>
      <c r="AH118" s="175"/>
      <c r="AI118" s="175"/>
      <c r="AJ118" s="175"/>
      <c r="AK118" s="175"/>
      <c r="AL118" s="175"/>
      <c r="AM118" s="175"/>
    </row>
    <row r="119" spans="1:50" s="5" customFormat="1" ht="12.75" x14ac:dyDescent="0.2">
      <c r="A119" s="42"/>
      <c r="B119" s="42"/>
      <c r="C119" s="42"/>
      <c r="D119" s="42"/>
      <c r="E119" s="42"/>
      <c r="F119" s="42"/>
      <c r="G119" s="43"/>
      <c r="H119" s="43"/>
      <c r="I119" s="44"/>
    </row>
    <row r="120" spans="1:50" s="52" customFormat="1" ht="12.75" customHeight="1" x14ac:dyDescent="0.25">
      <c r="A120" s="45" t="s">
        <v>333</v>
      </c>
      <c r="B120" s="46"/>
      <c r="C120" s="46"/>
      <c r="D120" s="47"/>
      <c r="E120" s="48"/>
      <c r="F120" s="49"/>
      <c r="G120" s="50"/>
      <c r="H120" s="50"/>
      <c r="I120" s="51"/>
    </row>
    <row r="121" spans="1:50" s="52" customFormat="1" ht="9.75" customHeight="1" x14ac:dyDescent="0.25">
      <c r="A121" s="53" t="s">
        <v>334</v>
      </c>
      <c r="B121" s="46"/>
      <c r="C121" s="46"/>
      <c r="D121" s="47"/>
      <c r="E121" s="48"/>
      <c r="F121" s="49"/>
      <c r="G121" s="50"/>
      <c r="H121" s="50"/>
      <c r="I121" s="51"/>
    </row>
  </sheetData>
  <sheetProtection algorithmName="SHA-512" hashValue="UOsiOBN+zP68wGa4zlwciSplW100bz/zVrG/QzGFe6mI4pW3fEiMS9+nuervY8Elg6cjxK0MHrC44qdZoG69LA==" saltValue="MD/GdHrVAdwr71liutR8NQ==" spinCount="100000" sheet="1" objects="1" scenarios="1"/>
  <mergeCells count="98">
    <mergeCell ref="A105:AM105"/>
    <mergeCell ref="A78:AM78"/>
    <mergeCell ref="A116:AM116"/>
    <mergeCell ref="A117:AM117"/>
    <mergeCell ref="A118:AM118"/>
    <mergeCell ref="J107:K107"/>
    <mergeCell ref="J108:K108"/>
    <mergeCell ref="J109:K109"/>
    <mergeCell ref="J110:K110"/>
    <mergeCell ref="E106:F106"/>
    <mergeCell ref="J106:K106"/>
    <mergeCell ref="J98:K98"/>
    <mergeCell ref="J99:K99"/>
    <mergeCell ref="J100:K100"/>
    <mergeCell ref="J101:K101"/>
    <mergeCell ref="J102:K102"/>
    <mergeCell ref="J103:K103"/>
    <mergeCell ref="J92:K92"/>
    <mergeCell ref="J93:K93"/>
    <mergeCell ref="J94:K94"/>
    <mergeCell ref="J95:K95"/>
    <mergeCell ref="J96:K96"/>
    <mergeCell ref="J97:K97"/>
    <mergeCell ref="J91:K91"/>
    <mergeCell ref="J80:K80"/>
    <mergeCell ref="J81:K81"/>
    <mergeCell ref="J82:K82"/>
    <mergeCell ref="J83:K83"/>
    <mergeCell ref="J84:K84"/>
    <mergeCell ref="J85:K85"/>
    <mergeCell ref="J86:K86"/>
    <mergeCell ref="J87:K87"/>
    <mergeCell ref="J88:K88"/>
    <mergeCell ref="J89:K89"/>
    <mergeCell ref="J90:K90"/>
    <mergeCell ref="E79:F79"/>
    <mergeCell ref="J79:K79"/>
    <mergeCell ref="J71:K71"/>
    <mergeCell ref="J72:K72"/>
    <mergeCell ref="J73:K73"/>
    <mergeCell ref="J74:K74"/>
    <mergeCell ref="J75:K75"/>
    <mergeCell ref="J76:K76"/>
    <mergeCell ref="J70:K70"/>
    <mergeCell ref="E64:F64"/>
    <mergeCell ref="J64:K64"/>
    <mergeCell ref="A63:AM63"/>
    <mergeCell ref="J56:K56"/>
    <mergeCell ref="J57:K57"/>
    <mergeCell ref="J58:K58"/>
    <mergeCell ref="J59:K59"/>
    <mergeCell ref="J60:K60"/>
    <mergeCell ref="J61:K61"/>
    <mergeCell ref="J65:K65"/>
    <mergeCell ref="J66:K66"/>
    <mergeCell ref="J67:K67"/>
    <mergeCell ref="J68:K68"/>
    <mergeCell ref="J69:K69"/>
    <mergeCell ref="J55:K55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43:K43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E19:F19"/>
    <mergeCell ref="J19:K19"/>
    <mergeCell ref="A18:AM18"/>
    <mergeCell ref="A16:AM16"/>
    <mergeCell ref="J31:K31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</mergeCells>
  <conditionalFormatting sqref="E2:E15">
    <cfRule type="duplicateValues" dxfId="213" priority="10"/>
  </conditionalFormatting>
  <conditionalFormatting sqref="E20">
    <cfRule type="duplicateValues" dxfId="212" priority="15"/>
  </conditionalFormatting>
  <conditionalFormatting sqref="E21:E61">
    <cfRule type="duplicateValues" dxfId="211" priority="8"/>
  </conditionalFormatting>
  <conditionalFormatting sqref="E65:E76">
    <cfRule type="duplicateValues" dxfId="210" priority="6"/>
  </conditionalFormatting>
  <conditionalFormatting sqref="E80:E103">
    <cfRule type="duplicateValues" dxfId="209" priority="4"/>
  </conditionalFormatting>
  <conditionalFormatting sqref="E104 E77 E62 E17">
    <cfRule type="duplicateValues" dxfId="208" priority="30"/>
  </conditionalFormatting>
  <conditionalFormatting sqref="E107:E110">
    <cfRule type="duplicateValues" dxfId="207" priority="2"/>
  </conditionalFormatting>
  <conditionalFormatting sqref="E107:E115 E1:E15 E80:E104 E65:E77 E20:E62 E17 E119:E1048576">
    <cfRule type="duplicateValues" dxfId="206" priority="1"/>
  </conditionalFormatting>
  <conditionalFormatting sqref="P19">
    <cfRule type="duplicateValues" dxfId="205" priority="14"/>
  </conditionalFormatting>
  <conditionalFormatting sqref="P20">
    <cfRule type="duplicateValues" dxfId="204" priority="26"/>
  </conditionalFormatting>
  <conditionalFormatting sqref="P21:P61">
    <cfRule type="duplicateValues" dxfId="203" priority="9"/>
  </conditionalFormatting>
  <conditionalFormatting sqref="P64">
    <cfRule type="duplicateValues" dxfId="202" priority="25"/>
  </conditionalFormatting>
  <conditionalFormatting sqref="P65:P76">
    <cfRule type="duplicateValues" dxfId="201" priority="7"/>
  </conditionalFormatting>
  <conditionalFormatting sqref="P79">
    <cfRule type="duplicateValues" dxfId="200" priority="24"/>
  </conditionalFormatting>
  <conditionalFormatting sqref="P80:P103">
    <cfRule type="duplicateValues" dxfId="199" priority="5"/>
  </conditionalFormatting>
  <conditionalFormatting sqref="P104 P77 P62 P17">
    <cfRule type="duplicateValues" dxfId="198" priority="34"/>
  </conditionalFormatting>
  <conditionalFormatting sqref="P106">
    <cfRule type="duplicateValues" dxfId="197" priority="23"/>
  </conditionalFormatting>
  <conditionalFormatting sqref="P107:P110">
    <cfRule type="duplicateValues" dxfId="196" priority="3"/>
  </conditionalFormatting>
  <printOptions horizontalCentered="1"/>
  <pageMargins left="0.23622047244094491" right="0.23622047244094491" top="0.39370078740157483" bottom="0.27559055118110237" header="0.15748031496062992" footer="0.19685039370078741"/>
  <pageSetup paperSize="256" scale="79" firstPageNumber="4" fitToHeight="0" orientation="portrait" r:id="rId1"/>
  <headerFooter>
    <oddFooter>&amp;L&amp;"Times New Roman,Normal"&amp;9Relación de Pensión enero 2024&amp;R&amp;"Times New Roman,Normal"&amp;9Página &amp;P de 05</oddFooter>
  </headerFooter>
  <rowBreaks count="3" manualBreakCount="3">
    <brk id="32" max="38" man="1"/>
    <brk id="53" max="38" man="1"/>
    <brk id="77" max="3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89"/>
  <sheetViews>
    <sheetView view="pageBreakPreview" zoomScale="93" zoomScaleNormal="66" zoomScaleSheetLayoutView="93" zoomScalePageLayoutView="60" workbookViewId="0">
      <selection activeCell="A292" sqref="A292:XFD302"/>
    </sheetView>
  </sheetViews>
  <sheetFormatPr baseColWidth="10" defaultRowHeight="12.75" x14ac:dyDescent="0.2"/>
  <cols>
    <col min="1" max="1" width="5.85546875" style="1" customWidth="1"/>
    <col min="2" max="2" width="20" style="1" hidden="1" customWidth="1"/>
    <col min="3" max="3" width="22.85546875" style="1" bestFit="1" customWidth="1"/>
    <col min="4" max="4" width="41.140625" style="1" bestFit="1" customWidth="1"/>
    <col min="5" max="5" width="13.42578125" style="1" hidden="1" customWidth="1"/>
    <col min="6" max="6" width="19" style="71" hidden="1" customWidth="1"/>
    <col min="7" max="7" width="10.7109375" style="1" hidden="1" customWidth="1"/>
    <col min="8" max="8" width="16.7109375" style="1" hidden="1" customWidth="1"/>
    <col min="9" max="9" width="25.85546875" style="1" hidden="1" customWidth="1"/>
    <col min="10" max="10" width="16.28515625" style="1" customWidth="1"/>
    <col min="11" max="11" width="15.5703125" style="1" hidden="1" customWidth="1"/>
    <col min="12" max="12" width="20" style="1" hidden="1" customWidth="1"/>
    <col min="13" max="13" width="20.42578125" style="1" hidden="1" customWidth="1"/>
    <col min="14" max="14" width="20.28515625" style="1" customWidth="1"/>
    <col min="15" max="15" width="18.42578125" style="1" customWidth="1"/>
    <col min="16" max="16384" width="11.42578125" style="1"/>
  </cols>
  <sheetData>
    <row r="1" spans="1:17" x14ac:dyDescent="0.2">
      <c r="F1" s="1"/>
    </row>
    <row r="2" spans="1:17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7" x14ac:dyDescent="0.2">
      <c r="F4" s="1"/>
    </row>
    <row r="5" spans="1:17" x14ac:dyDescent="0.2">
      <c r="F5" s="1"/>
    </row>
    <row r="6" spans="1:17" x14ac:dyDescent="0.2">
      <c r="F6" s="1"/>
    </row>
    <row r="7" spans="1:17" x14ac:dyDescent="0.2">
      <c r="F7" s="1"/>
    </row>
    <row r="8" spans="1:17" x14ac:dyDescent="0.2">
      <c r="F8" s="1"/>
    </row>
    <row r="9" spans="1:17" s="74" customFormat="1" ht="15.75" x14ac:dyDescent="0.25">
      <c r="A9" s="178" t="s">
        <v>883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73"/>
      <c r="P9" s="73"/>
      <c r="Q9" s="73"/>
    </row>
    <row r="10" spans="1:17" s="74" customFormat="1" ht="15.75" x14ac:dyDescent="0.25">
      <c r="A10" s="178" t="s">
        <v>884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73"/>
      <c r="P10" s="73"/>
      <c r="Q10" s="73"/>
    </row>
    <row r="11" spans="1:17" s="74" customFormat="1" ht="15.75" x14ac:dyDescent="0.25">
      <c r="A11" s="178" t="s">
        <v>885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73"/>
      <c r="P11" s="73"/>
      <c r="Q11" s="73"/>
    </row>
    <row r="12" spans="1:17" s="74" customFormat="1" ht="15.75" x14ac:dyDescent="0.25">
      <c r="A12" s="178" t="s">
        <v>886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73"/>
      <c r="P12" s="73"/>
      <c r="Q12" s="73"/>
    </row>
    <row r="13" spans="1:17" s="74" customFormat="1" ht="15.75" x14ac:dyDescent="0.25">
      <c r="A13" s="178" t="s">
        <v>887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73"/>
      <c r="P13" s="73"/>
      <c r="Q13" s="73"/>
    </row>
    <row r="14" spans="1:17" x14ac:dyDescent="0.2">
      <c r="F14" s="1"/>
    </row>
    <row r="15" spans="1:17" ht="13.5" thickBo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7" s="5" customFormat="1" ht="68.25" customHeight="1" thickBot="1" x14ac:dyDescent="0.25">
      <c r="A16" s="169" t="s">
        <v>340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1"/>
    </row>
    <row r="17" spans="1:18" x14ac:dyDescent="0.2">
      <c r="F17" s="1"/>
    </row>
    <row r="18" spans="1:18" x14ac:dyDescent="0.2">
      <c r="A18" s="168" t="s">
        <v>1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6"/>
      <c r="P18" s="6"/>
      <c r="Q18" s="6"/>
      <c r="R18" s="6"/>
    </row>
    <row r="19" spans="1:18" s="19" customFormat="1" ht="25.5" x14ac:dyDescent="0.2">
      <c r="A19" s="8" t="s">
        <v>4</v>
      </c>
      <c r="B19" s="8" t="s">
        <v>5</v>
      </c>
      <c r="C19" s="9" t="s">
        <v>6</v>
      </c>
      <c r="D19" s="9" t="s">
        <v>7</v>
      </c>
      <c r="E19" s="63" t="s">
        <v>8</v>
      </c>
      <c r="F19" s="64" t="s">
        <v>9</v>
      </c>
      <c r="G19" s="10" t="s">
        <v>10</v>
      </c>
      <c r="H19" s="9" t="s">
        <v>11</v>
      </c>
      <c r="I19" s="11" t="s">
        <v>12</v>
      </c>
      <c r="J19" s="166" t="s">
        <v>13</v>
      </c>
      <c r="K19" s="180"/>
      <c r="L19" s="167"/>
      <c r="M19" s="12" t="s">
        <v>14</v>
      </c>
      <c r="N19" s="13" t="s">
        <v>335</v>
      </c>
    </row>
    <row r="20" spans="1:18" s="7" customFormat="1" ht="45" customHeight="1" x14ac:dyDescent="0.2">
      <c r="A20" s="20">
        <v>1</v>
      </c>
      <c r="B20" s="65"/>
      <c r="C20" s="66" t="s">
        <v>341</v>
      </c>
      <c r="D20" s="66" t="s">
        <v>342</v>
      </c>
      <c r="E20" s="67" t="s">
        <v>343</v>
      </c>
      <c r="F20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0" s="68">
        <v>1</v>
      </c>
      <c r="H20" s="20" t="e">
        <f>DATEDIF(#REF!,#REF!,"y") &amp; " años " &amp; DATEDIF(#REF!,#REF!,"ym") &amp; " meses " &amp; DATEDIF(#REF!,#REF!,"md") &amp; " días"</f>
        <v>#REF!</v>
      </c>
      <c r="I20" s="20" t="e">
        <f>DATEDIF(#REF!,#REF!,"y") &amp; " años " &amp; DATEDIF(#REF!,#REF!,"ym") &amp; " meses " &amp; DATEDIF(#REF!,#REF!,"md") &amp; " días"</f>
        <v>#REF!</v>
      </c>
      <c r="J20" s="172" t="s">
        <v>13</v>
      </c>
      <c r="K20" s="179"/>
      <c r="L20" s="173"/>
      <c r="M20" s="69">
        <v>70000</v>
      </c>
      <c r="N20" s="26" t="s">
        <v>336</v>
      </c>
    </row>
    <row r="21" spans="1:18" s="7" customFormat="1" ht="45" customHeight="1" x14ac:dyDescent="0.2">
      <c r="A21" s="20">
        <v>2</v>
      </c>
      <c r="B21" s="1"/>
      <c r="C21" s="66" t="s">
        <v>341</v>
      </c>
      <c r="D21" s="66" t="s">
        <v>344</v>
      </c>
      <c r="E21" s="67" t="s">
        <v>345</v>
      </c>
      <c r="F21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1" s="68">
        <v>1</v>
      </c>
      <c r="H21" s="20" t="e">
        <f>DATEDIF(#REF!,#REF!,"y") &amp; " años " &amp; DATEDIF(#REF!,#REF!,"ym") &amp; " meses " &amp; DATEDIF(#REF!,#REF!,"md") &amp; " días"</f>
        <v>#REF!</v>
      </c>
      <c r="I21" s="20" t="e">
        <f>DATEDIF(#REF!,#REF!,"y") &amp; " años " &amp; DATEDIF(#REF!,#REF!,"ym") &amp; " meses " &amp; DATEDIF(#REF!,#REF!,"md") &amp; " días"</f>
        <v>#REF!</v>
      </c>
      <c r="J21" s="172"/>
      <c r="K21" s="179"/>
      <c r="L21" s="173"/>
      <c r="M21" s="69">
        <f>46487.03+25000</f>
        <v>71487.03</v>
      </c>
      <c r="N21" s="26" t="s">
        <v>336</v>
      </c>
    </row>
    <row r="22" spans="1:18" s="7" customFormat="1" ht="45" customHeight="1" x14ac:dyDescent="0.25">
      <c r="A22" s="20">
        <v>3</v>
      </c>
      <c r="B22" s="20"/>
      <c r="C22" s="66" t="s">
        <v>346</v>
      </c>
      <c r="D22" s="66" t="s">
        <v>347</v>
      </c>
      <c r="E22" s="67" t="s">
        <v>348</v>
      </c>
      <c r="F22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2" s="68">
        <v>0.82499999999999996</v>
      </c>
      <c r="H22" s="20" t="e">
        <f>DATEDIF(#REF!,#REF!,"y") &amp; " años " &amp; DATEDIF(#REF!,#REF!,"ym") &amp; " meses " &amp; DATEDIF(#REF!,#REF!,"md") &amp; " días"</f>
        <v>#REF!</v>
      </c>
      <c r="I22" s="20" t="e">
        <f>DATEDIF(#REF!,#REF!,"y") &amp; " años " &amp; DATEDIF(#REF!,#REF!,"ym") &amp; " meses " &amp; DATEDIF(#REF!,#REF!,"md") &amp; " días"</f>
        <v>#REF!</v>
      </c>
      <c r="J22" s="172"/>
      <c r="K22" s="179"/>
      <c r="L22" s="173"/>
      <c r="M22" s="69">
        <v>41030</v>
      </c>
      <c r="N22" s="26" t="s">
        <v>338</v>
      </c>
    </row>
    <row r="23" spans="1:18" s="7" customFormat="1" ht="45" customHeight="1" x14ac:dyDescent="0.2">
      <c r="A23" s="20">
        <v>4</v>
      </c>
      <c r="B23" s="65"/>
      <c r="C23" s="66" t="s">
        <v>39</v>
      </c>
      <c r="D23" s="66" t="s">
        <v>349</v>
      </c>
      <c r="E23" s="67" t="s">
        <v>350</v>
      </c>
      <c r="F23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3" s="68">
        <v>1</v>
      </c>
      <c r="H23" s="20" t="e">
        <f>DATEDIF(#REF!,#REF!,"y") &amp; " años " &amp; DATEDIF(#REF!,#REF!,"ym") &amp; " meses " &amp; DATEDIF(#REF!,#REF!,"md") &amp; " días"</f>
        <v>#REF!</v>
      </c>
      <c r="I23" s="20" t="e">
        <f>DATEDIF(#REF!,#REF!,"y") &amp; " años " &amp; DATEDIF(#REF!,#REF!,"ym") &amp; " meses " &amp; DATEDIF(#REF!,#REF!,"md") &amp; " días"</f>
        <v>#REF!</v>
      </c>
      <c r="J23" s="172" t="s">
        <v>13</v>
      </c>
      <c r="K23" s="179"/>
      <c r="L23" s="173"/>
      <c r="M23" s="69">
        <v>45000</v>
      </c>
      <c r="N23" s="26" t="s">
        <v>336</v>
      </c>
    </row>
    <row r="24" spans="1:18" s="7" customFormat="1" ht="45" customHeight="1" x14ac:dyDescent="0.2">
      <c r="A24" s="20">
        <v>5</v>
      </c>
      <c r="B24" s="65"/>
      <c r="C24" s="66" t="s">
        <v>39</v>
      </c>
      <c r="D24" s="66" t="s">
        <v>351</v>
      </c>
      <c r="E24" s="67" t="s">
        <v>352</v>
      </c>
      <c r="F24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4" s="68">
        <v>1</v>
      </c>
      <c r="H24" s="20" t="e">
        <f>DATEDIF(#REF!,#REF!,"y") &amp; " años " &amp; DATEDIF(#REF!,#REF!,"ym") &amp; " meses " &amp; DATEDIF(#REF!,#REF!,"md") &amp; " días"</f>
        <v>#REF!</v>
      </c>
      <c r="I24" s="20" t="e">
        <f>DATEDIF(#REF!,#REF!,"y") &amp; " años " &amp; DATEDIF(#REF!,#REF!,"ym") &amp; " meses " &amp; DATEDIF(#REF!,#REF!,"md") &amp; " días"</f>
        <v>#REF!</v>
      </c>
      <c r="J24" s="172"/>
      <c r="K24" s="179"/>
      <c r="L24" s="173"/>
      <c r="M24" s="69">
        <f>33637.53+14000</f>
        <v>47637.53</v>
      </c>
      <c r="N24" s="26" t="s">
        <v>336</v>
      </c>
    </row>
    <row r="25" spans="1:18" s="7" customFormat="1" ht="45" customHeight="1" x14ac:dyDescent="0.2">
      <c r="A25" s="20">
        <v>6</v>
      </c>
      <c r="B25" s="65"/>
      <c r="C25" s="66" t="s">
        <v>39</v>
      </c>
      <c r="D25" s="66" t="s">
        <v>353</v>
      </c>
      <c r="E25" s="67" t="s">
        <v>354</v>
      </c>
      <c r="F25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5" s="68">
        <v>0.72499999999999998</v>
      </c>
      <c r="H25" s="20" t="e">
        <f>DATEDIF(#REF!,#REF!,"y") &amp; " años " &amp; DATEDIF(#REF!,#REF!,"ym") &amp; " meses " &amp; DATEDIF(#REF!,#REF!,"md") &amp; " días"</f>
        <v>#REF!</v>
      </c>
      <c r="I25" s="20" t="e">
        <f>DATEDIF(#REF!,#REF!,"y") &amp; " años " &amp; DATEDIF(#REF!,#REF!,"ym") &amp; " meses " &amp; DATEDIF(#REF!,#REF!,"md") &amp; " días"</f>
        <v>#REF!</v>
      </c>
      <c r="J25" s="172"/>
      <c r="K25" s="179"/>
      <c r="L25" s="173"/>
      <c r="M25" s="69">
        <v>38187.53</v>
      </c>
      <c r="N25" s="26" t="s">
        <v>336</v>
      </c>
    </row>
    <row r="26" spans="1:18" s="7" customFormat="1" ht="45" customHeight="1" x14ac:dyDescent="0.2">
      <c r="A26" s="20">
        <v>7</v>
      </c>
      <c r="B26" s="65"/>
      <c r="C26" s="66" t="s">
        <v>39</v>
      </c>
      <c r="D26" s="66" t="s">
        <v>355</v>
      </c>
      <c r="E26" s="67" t="s">
        <v>356</v>
      </c>
      <c r="F26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6" s="68">
        <v>1</v>
      </c>
      <c r="H26" s="20" t="e">
        <f>DATEDIF(#REF!,#REF!,"y") &amp; " años " &amp; DATEDIF(#REF!,#REF!,"ym") &amp; " meses " &amp; DATEDIF(#REF!,#REF!,"md") &amp; " días"</f>
        <v>#REF!</v>
      </c>
      <c r="I26" s="20" t="e">
        <f>DATEDIF(#REF!,#REF!,"y") &amp; " años " &amp; DATEDIF(#REF!,#REF!,"ym") &amp; " meses " &amp; DATEDIF(#REF!,#REF!,"md") &amp; " días"</f>
        <v>#REF!</v>
      </c>
      <c r="J26" s="172"/>
      <c r="K26" s="179"/>
      <c r="L26" s="173"/>
      <c r="M26" s="69">
        <f>33637.53</f>
        <v>33637.53</v>
      </c>
      <c r="N26" s="26" t="s">
        <v>336</v>
      </c>
    </row>
    <row r="27" spans="1:18" s="7" customFormat="1" ht="45" customHeight="1" x14ac:dyDescent="0.25">
      <c r="A27" s="20">
        <v>8</v>
      </c>
      <c r="B27" s="20"/>
      <c r="C27" s="21" t="s">
        <v>39</v>
      </c>
      <c r="D27" s="21" t="s">
        <v>357</v>
      </c>
      <c r="E27" s="70" t="s">
        <v>358</v>
      </c>
      <c r="F27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7" s="24">
        <v>1</v>
      </c>
      <c r="H27" s="20" t="e">
        <f>DATEDIF(#REF!,#REF!,"y") &amp; " años " &amp; DATEDIF(#REF!,#REF!,"ym") &amp; " meses " &amp; DATEDIF(#REF!,#REF!,"md") &amp; " días"</f>
        <v>#REF!</v>
      </c>
      <c r="I27" s="20" t="e">
        <f>DATEDIF(#REF!,#REF!,"y") &amp; " años " &amp; DATEDIF(#REF!,#REF!,"ym") &amp; " meses " &amp; DATEDIF(#REF!,#REF!,"md") &amp; " días"</f>
        <v>#REF!</v>
      </c>
      <c r="J27" s="172"/>
      <c r="K27" s="179"/>
      <c r="L27" s="173"/>
      <c r="M27" s="26">
        <f>33637.53+14000</f>
        <v>47637.53</v>
      </c>
      <c r="N27" s="26" t="s">
        <v>337</v>
      </c>
    </row>
    <row r="28" spans="1:18" s="7" customFormat="1" ht="45" customHeight="1" x14ac:dyDescent="0.25">
      <c r="A28" s="20">
        <v>9</v>
      </c>
      <c r="B28" s="20"/>
      <c r="C28" s="66" t="s">
        <v>359</v>
      </c>
      <c r="D28" s="66" t="s">
        <v>360</v>
      </c>
      <c r="E28" s="67" t="s">
        <v>361</v>
      </c>
      <c r="F28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8" s="68">
        <v>0.7</v>
      </c>
      <c r="H28" s="20" t="e">
        <f>DATEDIF(#REF!,#REF!,"y") &amp; " años " &amp; DATEDIF(#REF!,#REF!,"ym") &amp; " meses " &amp; DATEDIF(#REF!,#REF!,"md") &amp; " días"</f>
        <v>#REF!</v>
      </c>
      <c r="I28" s="20" t="e">
        <f>DATEDIF(#REF!,#REF!,"y") &amp; " años " &amp; DATEDIF(#REF!,#REF!,"ym") &amp; " meses " &amp; DATEDIF(#REF!,#REF!,"md") &amp; " días"</f>
        <v>#REF!</v>
      </c>
      <c r="J28" s="172"/>
      <c r="K28" s="179"/>
      <c r="L28" s="173"/>
      <c r="M28" s="69">
        <v>25875</v>
      </c>
      <c r="N28" s="26" t="s">
        <v>338</v>
      </c>
    </row>
    <row r="29" spans="1:18" s="7" customFormat="1" ht="45" customHeight="1" x14ac:dyDescent="0.2">
      <c r="A29" s="20">
        <v>10</v>
      </c>
      <c r="B29" s="65"/>
      <c r="C29" s="66" t="s">
        <v>49</v>
      </c>
      <c r="D29" s="66" t="s">
        <v>362</v>
      </c>
      <c r="E29" s="67" t="s">
        <v>363</v>
      </c>
      <c r="F29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9" s="68">
        <v>1</v>
      </c>
      <c r="H29" s="20" t="e">
        <f>DATEDIF(#REF!,#REF!,"y") &amp; " años " &amp; DATEDIF(#REF!,#REF!,"ym") &amp; " meses " &amp; DATEDIF(#REF!,#REF!,"md") &amp; " días"</f>
        <v>#REF!</v>
      </c>
      <c r="I29" s="20" t="e">
        <f>DATEDIF(#REF!,#REF!,"y") &amp; " años " &amp; DATEDIF(#REF!,#REF!,"ym") &amp; " meses " &amp; DATEDIF(#REF!,#REF!,"md") &amp; " días"</f>
        <v>#REF!</v>
      </c>
      <c r="J29" s="172"/>
      <c r="K29" s="179"/>
      <c r="L29" s="173"/>
      <c r="M29" s="69">
        <f>33637.53</f>
        <v>33637.53</v>
      </c>
      <c r="N29" s="26" t="s">
        <v>336</v>
      </c>
    </row>
    <row r="30" spans="1:18" s="7" customFormat="1" ht="45" customHeight="1" x14ac:dyDescent="0.2">
      <c r="A30" s="20">
        <v>11</v>
      </c>
      <c r="B30" s="65"/>
      <c r="C30" s="66" t="s">
        <v>49</v>
      </c>
      <c r="D30" s="66" t="s">
        <v>364</v>
      </c>
      <c r="E30" s="67" t="s">
        <v>365</v>
      </c>
      <c r="F30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30" s="68">
        <v>1</v>
      </c>
      <c r="H30" s="20" t="e">
        <f>DATEDIF(#REF!,#REF!,"y") &amp; " años " &amp; DATEDIF(#REF!,#REF!,"ym") &amp; " meses " &amp; DATEDIF(#REF!,#REF!,"md") &amp; " días"</f>
        <v>#REF!</v>
      </c>
      <c r="I30" s="20" t="e">
        <f>DATEDIF(#REF!,#REF!,"y") &amp; " años " &amp; DATEDIF(#REF!,#REF!,"ym") &amp; " meses " &amp; DATEDIF(#REF!,#REF!,"md") &amp; " días"</f>
        <v>#REF!</v>
      </c>
      <c r="J30" s="172"/>
      <c r="K30" s="179"/>
      <c r="L30" s="173"/>
      <c r="M30" s="69">
        <f>29343.32</f>
        <v>29343.32</v>
      </c>
      <c r="N30" s="26" t="s">
        <v>336</v>
      </c>
    </row>
    <row r="31" spans="1:18" s="7" customFormat="1" ht="45" customHeight="1" x14ac:dyDescent="0.2">
      <c r="A31" s="20">
        <v>12</v>
      </c>
      <c r="B31" s="65"/>
      <c r="C31" s="66" t="s">
        <v>49</v>
      </c>
      <c r="D31" s="66" t="s">
        <v>366</v>
      </c>
      <c r="E31" s="67" t="s">
        <v>367</v>
      </c>
      <c r="F31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31" s="68">
        <v>1</v>
      </c>
      <c r="H31" s="20" t="e">
        <f>DATEDIF(#REF!,#REF!,"y") &amp; " años " &amp; DATEDIF(#REF!,#REF!,"ym") &amp; " meses " &amp; DATEDIF(#REF!,#REF!,"md") &amp; " días"</f>
        <v>#REF!</v>
      </c>
      <c r="I31" s="20" t="e">
        <f>DATEDIF(#REF!,#REF!,"y") &amp; " años " &amp; DATEDIF(#REF!,#REF!,"ym") &amp; " meses " &amp; DATEDIF(#REF!,#REF!,"md") &amp; " días"</f>
        <v>#REF!</v>
      </c>
      <c r="J31" s="172"/>
      <c r="K31" s="179"/>
      <c r="L31" s="173"/>
      <c r="M31" s="69">
        <f>33637.53</f>
        <v>33637.53</v>
      </c>
      <c r="N31" s="26" t="s">
        <v>336</v>
      </c>
    </row>
    <row r="32" spans="1:18" s="7" customFormat="1" ht="45" customHeight="1" x14ac:dyDescent="0.2">
      <c r="A32" s="20">
        <v>13</v>
      </c>
      <c r="B32" s="65"/>
      <c r="C32" s="66" t="s">
        <v>49</v>
      </c>
      <c r="D32" s="66" t="s">
        <v>368</v>
      </c>
      <c r="E32" s="67" t="s">
        <v>369</v>
      </c>
      <c r="F32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32" s="68">
        <v>0.65</v>
      </c>
      <c r="H32" s="20" t="e">
        <f>DATEDIF(#REF!,#REF!,"y") &amp; " años " &amp; DATEDIF(#REF!,#REF!,"ym") &amp; " meses " &amp; DATEDIF(#REF!,#REF!,"md") &amp; " días"</f>
        <v>#REF!</v>
      </c>
      <c r="I32" s="20" t="e">
        <f>DATEDIF(#REF!,#REF!,"y") &amp; " años " &amp; DATEDIF(#REF!,#REF!,"ym") &amp; " meses " &amp; DATEDIF(#REF!,#REF!,"md") &amp; " días"</f>
        <v>#REF!</v>
      </c>
      <c r="J32" s="172"/>
      <c r="K32" s="179"/>
      <c r="L32" s="173"/>
      <c r="M32" s="69">
        <v>29343.31</v>
      </c>
      <c r="N32" s="26" t="s">
        <v>336</v>
      </c>
    </row>
    <row r="33" spans="1:14" s="7" customFormat="1" ht="45" customHeight="1" x14ac:dyDescent="0.2">
      <c r="A33" s="20">
        <v>14</v>
      </c>
      <c r="B33" s="65"/>
      <c r="C33" s="66" t="s">
        <v>49</v>
      </c>
      <c r="D33" s="66" t="s">
        <v>370</v>
      </c>
      <c r="E33" s="67" t="s">
        <v>371</v>
      </c>
      <c r="F33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33" s="68">
        <v>0.88</v>
      </c>
      <c r="H33" s="20" t="e">
        <f>DATEDIF(#REF!,#REF!,"y") &amp; " años " &amp; DATEDIF(#REF!,#REF!,"ym") &amp; " meses " &amp; DATEDIF(#REF!,#REF!,"md") &amp; " días"</f>
        <v>#REF!</v>
      </c>
      <c r="I33" s="20" t="e">
        <f>DATEDIF(#REF!,#REF!,"y") &amp; " años " &amp; DATEDIF(#REF!,#REF!,"ym") &amp; " meses " &amp; DATEDIF(#REF!,#REF!,"md") &amp; " días"</f>
        <v>#REF!</v>
      </c>
      <c r="J33" s="172"/>
      <c r="K33" s="179"/>
      <c r="L33" s="173"/>
      <c r="M33" s="69">
        <f>33637.52</f>
        <v>33637.519999999997</v>
      </c>
      <c r="N33" s="26" t="s">
        <v>336</v>
      </c>
    </row>
    <row r="34" spans="1:14" s="7" customFormat="1" ht="45" customHeight="1" x14ac:dyDescent="0.2">
      <c r="A34" s="20">
        <v>15</v>
      </c>
      <c r="B34" s="65"/>
      <c r="C34" s="66" t="s">
        <v>49</v>
      </c>
      <c r="D34" s="66" t="s">
        <v>372</v>
      </c>
      <c r="E34" s="67" t="s">
        <v>373</v>
      </c>
      <c r="F34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34" s="68">
        <v>1</v>
      </c>
      <c r="H34" s="20" t="e">
        <f>DATEDIF(#REF!,#REF!,"y") &amp; " años " &amp; DATEDIF(#REF!,#REF!,"ym") &amp; " meses " &amp; DATEDIF(#REF!,#REF!,"md") &amp; " días"</f>
        <v>#REF!</v>
      </c>
      <c r="I34" s="20" t="e">
        <f>DATEDIF(#REF!,#REF!,"y") &amp; " años " &amp; DATEDIF(#REF!,#REF!,"ym") &amp; " meses " &amp; DATEDIF(#REF!,#REF!,"md") &amp; " días"</f>
        <v>#REF!</v>
      </c>
      <c r="J34" s="172" t="s">
        <v>13</v>
      </c>
      <c r="K34" s="179"/>
      <c r="L34" s="173"/>
      <c r="M34" s="69">
        <f>33637.53</f>
        <v>33637.53</v>
      </c>
      <c r="N34" s="26" t="s">
        <v>336</v>
      </c>
    </row>
    <row r="35" spans="1:14" s="7" customFormat="1" ht="45" customHeight="1" x14ac:dyDescent="0.2">
      <c r="A35" s="20">
        <v>16</v>
      </c>
      <c r="B35" s="65"/>
      <c r="C35" s="66" t="s">
        <v>49</v>
      </c>
      <c r="D35" s="66" t="s">
        <v>374</v>
      </c>
      <c r="E35" s="67" t="s">
        <v>375</v>
      </c>
      <c r="F35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35" s="68">
        <v>1</v>
      </c>
      <c r="H35" s="20" t="e">
        <f>DATEDIF(#REF!,#REF!,"y") &amp; " años " &amp; DATEDIF(#REF!,#REF!,"ym") &amp; " meses " &amp; DATEDIF(#REF!,#REF!,"md") &amp; " días"</f>
        <v>#REF!</v>
      </c>
      <c r="I35" s="20" t="e">
        <f>DATEDIF(#REF!,#REF!,"y") &amp; " años " &amp; DATEDIF(#REF!,#REF!,"ym") &amp; " meses " &amp; DATEDIF(#REF!,#REF!,"md") &amp; " días"</f>
        <v>#REF!</v>
      </c>
      <c r="J35" s="172"/>
      <c r="K35" s="179"/>
      <c r="L35" s="173"/>
      <c r="M35" s="69">
        <f>29343.32</f>
        <v>29343.32</v>
      </c>
      <c r="N35" s="26" t="s">
        <v>336</v>
      </c>
    </row>
    <row r="36" spans="1:14" s="7" customFormat="1" ht="45" customHeight="1" x14ac:dyDescent="0.2">
      <c r="A36" s="20">
        <v>17</v>
      </c>
      <c r="B36" s="65"/>
      <c r="C36" s="66" t="s">
        <v>49</v>
      </c>
      <c r="D36" s="66" t="s">
        <v>376</v>
      </c>
      <c r="E36" s="67" t="s">
        <v>377</v>
      </c>
      <c r="F36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36" s="68">
        <v>1</v>
      </c>
      <c r="H36" s="20" t="e">
        <f>DATEDIF(#REF!,#REF!,"y") &amp; " años " &amp; DATEDIF(#REF!,#REF!,"ym") &amp; " meses " &amp; DATEDIF(#REF!,#REF!,"md") &amp; " días"</f>
        <v>#REF!</v>
      </c>
      <c r="I36" s="20" t="e">
        <f>DATEDIF(#REF!,#REF!,"y") &amp; " años " &amp; DATEDIF(#REF!,#REF!,"ym") &amp; " meses " &amp; DATEDIF(#REF!,#REF!,"md") &amp; " días"</f>
        <v>#REF!</v>
      </c>
      <c r="J36" s="172" t="s">
        <v>13</v>
      </c>
      <c r="K36" s="179"/>
      <c r="L36" s="173"/>
      <c r="M36" s="69">
        <f>33637.53+14000</f>
        <v>47637.53</v>
      </c>
      <c r="N36" s="26" t="s">
        <v>336</v>
      </c>
    </row>
    <row r="37" spans="1:14" s="7" customFormat="1" ht="45" customHeight="1" x14ac:dyDescent="0.2">
      <c r="A37" s="20">
        <v>18</v>
      </c>
      <c r="B37" s="65"/>
      <c r="C37" s="66" t="s">
        <v>49</v>
      </c>
      <c r="D37" s="66" t="s">
        <v>378</v>
      </c>
      <c r="E37" s="67" t="s">
        <v>379</v>
      </c>
      <c r="F37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37" s="68">
        <v>0.97</v>
      </c>
      <c r="H37" s="20" t="e">
        <f>DATEDIF(#REF!,#REF!,"y") &amp; " años " &amp; DATEDIF(#REF!,#REF!,"ym") &amp; " meses " &amp; DATEDIF(#REF!,#REF!,"md") &amp; " días"</f>
        <v>#REF!</v>
      </c>
      <c r="I37" s="20" t="e">
        <f>DATEDIF(#REF!,#REF!,"y") &amp; " años " &amp; DATEDIF(#REF!,#REF!,"ym") &amp; " meses " &amp; DATEDIF(#REF!,#REF!,"md") &amp; " días"</f>
        <v>#REF!</v>
      </c>
      <c r="J37" s="172"/>
      <c r="K37" s="179"/>
      <c r="L37" s="173"/>
      <c r="M37" s="69">
        <f>33637.53</f>
        <v>33637.53</v>
      </c>
      <c r="N37" s="26" t="s">
        <v>336</v>
      </c>
    </row>
    <row r="38" spans="1:14" s="7" customFormat="1" ht="45" customHeight="1" x14ac:dyDescent="0.25">
      <c r="A38" s="20">
        <v>19</v>
      </c>
      <c r="B38" s="20"/>
      <c r="C38" s="21" t="s">
        <v>49</v>
      </c>
      <c r="D38" s="21" t="s">
        <v>380</v>
      </c>
      <c r="E38" s="70" t="s">
        <v>381</v>
      </c>
      <c r="F38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38" s="24">
        <v>1</v>
      </c>
      <c r="H38" s="20" t="e">
        <f>DATEDIF(#REF!,#REF!,"y") &amp; " años " &amp; DATEDIF(#REF!,#REF!,"ym") &amp; " meses " &amp; DATEDIF(#REF!,#REF!,"md") &amp; " días"</f>
        <v>#REF!</v>
      </c>
      <c r="I38" s="20" t="e">
        <f>DATEDIF(#REF!,#REF!,"y") &amp; " años " &amp; DATEDIF(#REF!,#REF!,"ym") &amp; " meses " &amp; DATEDIF(#REF!,#REF!,"md") &amp; " días"</f>
        <v>#REF!</v>
      </c>
      <c r="J38" s="172"/>
      <c r="K38" s="179"/>
      <c r="L38" s="173"/>
      <c r="M38" s="26">
        <f>33637.53</f>
        <v>33637.53</v>
      </c>
      <c r="N38" s="26" t="s">
        <v>337</v>
      </c>
    </row>
    <row r="39" spans="1:14" s="7" customFormat="1" ht="45" customHeight="1" x14ac:dyDescent="0.2">
      <c r="A39" s="20">
        <v>20</v>
      </c>
      <c r="B39" s="65"/>
      <c r="C39" s="66" t="s">
        <v>56</v>
      </c>
      <c r="D39" s="66" t="s">
        <v>382</v>
      </c>
      <c r="E39" s="67" t="s">
        <v>383</v>
      </c>
      <c r="F39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39" s="68">
        <v>1</v>
      </c>
      <c r="H39" s="20" t="e">
        <f>DATEDIF(#REF!,#REF!,"y") &amp; " años " &amp; DATEDIF(#REF!,#REF!,"ym") &amp; " meses " &amp; DATEDIF(#REF!,#REF!,"md") &amp; " días"</f>
        <v>#REF!</v>
      </c>
      <c r="I39" s="20" t="e">
        <f>DATEDIF(#REF!,#REF!,"y") &amp; " años " &amp; DATEDIF(#REF!,#REF!,"ym") &amp; " meses " &amp; DATEDIF(#REF!,#REF!,"md") &amp; " días"</f>
        <v>#REF!</v>
      </c>
      <c r="J39" s="172"/>
      <c r="K39" s="179"/>
      <c r="L39" s="173"/>
      <c r="M39" s="69">
        <f>29343.32</f>
        <v>29343.32</v>
      </c>
      <c r="N39" s="26" t="s">
        <v>336</v>
      </c>
    </row>
    <row r="40" spans="1:14" s="7" customFormat="1" ht="45" customHeight="1" x14ac:dyDescent="0.2">
      <c r="A40" s="20">
        <v>21</v>
      </c>
      <c r="B40" s="65"/>
      <c r="C40" s="66" t="s">
        <v>56</v>
      </c>
      <c r="D40" s="66" t="s">
        <v>384</v>
      </c>
      <c r="E40" s="67" t="s">
        <v>385</v>
      </c>
      <c r="F40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40" s="68">
        <v>1</v>
      </c>
      <c r="H40" s="20" t="e">
        <f>DATEDIF(#REF!,#REF!,"y") &amp; " años " &amp; DATEDIF(#REF!,#REF!,"ym") &amp; " meses " &amp; DATEDIF(#REF!,#REF!,"md") &amp; " días"</f>
        <v>#REF!</v>
      </c>
      <c r="I40" s="20" t="e">
        <f>DATEDIF(#REF!,#REF!,"y") &amp; " años " &amp; DATEDIF(#REF!,#REF!,"ym") &amp; " meses " &amp; DATEDIF(#REF!,#REF!,"md") &amp; " días"</f>
        <v>#REF!</v>
      </c>
      <c r="J40" s="172" t="s">
        <v>13</v>
      </c>
      <c r="K40" s="179"/>
      <c r="L40" s="173"/>
      <c r="M40" s="69">
        <f>29343.32</f>
        <v>29343.32</v>
      </c>
      <c r="N40" s="26" t="s">
        <v>336</v>
      </c>
    </row>
    <row r="41" spans="1:14" s="7" customFormat="1" ht="45" customHeight="1" x14ac:dyDescent="0.2">
      <c r="A41" s="20">
        <v>22</v>
      </c>
      <c r="B41" s="65"/>
      <c r="C41" s="66" t="s">
        <v>56</v>
      </c>
      <c r="D41" s="66" t="s">
        <v>386</v>
      </c>
      <c r="E41" s="67" t="s">
        <v>387</v>
      </c>
      <c r="F41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41" s="68">
        <v>1</v>
      </c>
      <c r="H41" s="20" t="e">
        <f>DATEDIF(#REF!,#REF!,"y") &amp; " años " &amp; DATEDIF(#REF!,#REF!,"ym") &amp; " meses " &amp; DATEDIF(#REF!,#REF!,"md") &amp; " días"</f>
        <v>#REF!</v>
      </c>
      <c r="I41" s="20" t="e">
        <f>DATEDIF(#REF!,#REF!,"y") &amp; " años " &amp; DATEDIF(#REF!,#REF!,"ym") &amp; " meses " &amp; DATEDIF(#REF!,#REF!,"md") &amp; " días"</f>
        <v>#REF!</v>
      </c>
      <c r="J41" s="172"/>
      <c r="K41" s="179"/>
      <c r="L41" s="173"/>
      <c r="M41" s="69">
        <f t="shared" ref="M41" si="0">29343.32+12000</f>
        <v>41343.32</v>
      </c>
      <c r="N41" s="26" t="s">
        <v>336</v>
      </c>
    </row>
    <row r="42" spans="1:14" s="7" customFormat="1" ht="45" customHeight="1" x14ac:dyDescent="0.2">
      <c r="A42" s="20">
        <v>23</v>
      </c>
      <c r="B42" s="65"/>
      <c r="C42" s="66" t="s">
        <v>56</v>
      </c>
      <c r="D42" s="66" t="s">
        <v>388</v>
      </c>
      <c r="E42" s="67" t="s">
        <v>389</v>
      </c>
      <c r="F42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42" s="68">
        <v>1</v>
      </c>
      <c r="H42" s="20" t="e">
        <f>DATEDIF(#REF!,#REF!,"y") &amp; " años " &amp; DATEDIF(#REF!,#REF!,"ym") &amp; " meses " &amp; DATEDIF(#REF!,#REF!,"md") &amp; " días"</f>
        <v>#REF!</v>
      </c>
      <c r="I42" s="20" t="e">
        <f>DATEDIF(#REF!,#REF!,"y") &amp; " años " &amp; DATEDIF(#REF!,#REF!,"ym") &amp; " meses " &amp; DATEDIF(#REF!,#REF!,"md") &amp; " días"</f>
        <v>#REF!</v>
      </c>
      <c r="J42" s="172"/>
      <c r="K42" s="179"/>
      <c r="L42" s="173"/>
      <c r="M42" s="69">
        <f>29343.32</f>
        <v>29343.32</v>
      </c>
      <c r="N42" s="26" t="s">
        <v>336</v>
      </c>
    </row>
    <row r="43" spans="1:14" s="7" customFormat="1" ht="45" customHeight="1" x14ac:dyDescent="0.2">
      <c r="A43" s="20">
        <v>24</v>
      </c>
      <c r="B43" s="65"/>
      <c r="C43" s="66" t="s">
        <v>56</v>
      </c>
      <c r="D43" s="66" t="s">
        <v>390</v>
      </c>
      <c r="E43" s="67" t="s">
        <v>391</v>
      </c>
      <c r="F43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43" s="68">
        <v>1</v>
      </c>
      <c r="H43" s="20" t="e">
        <f>DATEDIF(#REF!,#REF!,"y") &amp; " años " &amp; DATEDIF(#REF!,#REF!,"ym") &amp; " meses " &amp; DATEDIF(#REF!,#REF!,"md") &amp; " días"</f>
        <v>#REF!</v>
      </c>
      <c r="I43" s="20" t="e">
        <f>DATEDIF(#REF!,#REF!,"y") &amp; " años " &amp; DATEDIF(#REF!,#REF!,"ym") &amp; " meses " &amp; DATEDIF(#REF!,#REF!,"md") &amp; " días"</f>
        <v>#REF!</v>
      </c>
      <c r="J43" s="172"/>
      <c r="K43" s="179"/>
      <c r="L43" s="173"/>
      <c r="M43" s="69">
        <f>29343.32</f>
        <v>29343.32</v>
      </c>
      <c r="N43" s="26" t="s">
        <v>336</v>
      </c>
    </row>
    <row r="44" spans="1:14" s="7" customFormat="1" ht="45" customHeight="1" x14ac:dyDescent="0.2">
      <c r="A44" s="20">
        <v>25</v>
      </c>
      <c r="B44" s="65"/>
      <c r="C44" s="66" t="s">
        <v>56</v>
      </c>
      <c r="D44" s="66" t="s">
        <v>392</v>
      </c>
      <c r="E44" s="67" t="s">
        <v>393</v>
      </c>
      <c r="F44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44" s="68">
        <v>0.65</v>
      </c>
      <c r="H44" s="20" t="e">
        <f>DATEDIF(#REF!,#REF!,"y") &amp; " años " &amp; DATEDIF(#REF!,#REF!,"ym") &amp; " meses " &amp; DATEDIF(#REF!,#REF!,"md") &amp; " días"</f>
        <v>#REF!</v>
      </c>
      <c r="I44" s="20" t="e">
        <f>DATEDIF(#REF!,#REF!,"y") &amp; " años " &amp; DATEDIF(#REF!,#REF!,"ym") &amp; " meses " &amp; DATEDIF(#REF!,#REF!,"md") &amp; " días"</f>
        <v>#REF!</v>
      </c>
      <c r="J44" s="172"/>
      <c r="K44" s="179"/>
      <c r="L44" s="173"/>
      <c r="M44" s="69">
        <f>27563.57</f>
        <v>27563.57</v>
      </c>
      <c r="N44" s="26" t="s">
        <v>336</v>
      </c>
    </row>
    <row r="45" spans="1:14" s="7" customFormat="1" ht="45" customHeight="1" x14ac:dyDescent="0.2">
      <c r="A45" s="20">
        <v>26</v>
      </c>
      <c r="B45" s="65"/>
      <c r="C45" s="66" t="s">
        <v>56</v>
      </c>
      <c r="D45" s="66" t="s">
        <v>394</v>
      </c>
      <c r="E45" s="67" t="s">
        <v>395</v>
      </c>
      <c r="F45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45" s="68">
        <v>1</v>
      </c>
      <c r="H45" s="20" t="e">
        <f>DATEDIF(#REF!,#REF!,"y") &amp; " años " &amp; DATEDIF(#REF!,#REF!,"ym") &amp; " meses " &amp; DATEDIF(#REF!,#REF!,"md") &amp; " días"</f>
        <v>#REF!</v>
      </c>
      <c r="I45" s="20" t="e">
        <f>DATEDIF(#REF!,#REF!,"y") &amp; " años " &amp; DATEDIF(#REF!,#REF!,"ym") &amp; " meses " &amp; DATEDIF(#REF!,#REF!,"md") &amp; " días"</f>
        <v>#REF!</v>
      </c>
      <c r="J45" s="172" t="s">
        <v>13</v>
      </c>
      <c r="K45" s="179"/>
      <c r="L45" s="173"/>
      <c r="M45" s="69">
        <v>45000</v>
      </c>
      <c r="N45" s="26" t="s">
        <v>336</v>
      </c>
    </row>
    <row r="46" spans="1:14" s="7" customFormat="1" ht="45" customHeight="1" x14ac:dyDescent="0.2">
      <c r="A46" s="20">
        <v>27</v>
      </c>
      <c r="B46" s="65"/>
      <c r="C46" s="66" t="s">
        <v>56</v>
      </c>
      <c r="D46" s="66" t="s">
        <v>396</v>
      </c>
      <c r="E46" s="67" t="s">
        <v>397</v>
      </c>
      <c r="F46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46" s="68">
        <v>1</v>
      </c>
      <c r="H46" s="20" t="e">
        <f>DATEDIF(#REF!,#REF!,"y") &amp; " años " &amp; DATEDIF(#REF!,#REF!,"ym") &amp; " meses " &amp; DATEDIF(#REF!,#REF!,"md") &amp; " días"</f>
        <v>#REF!</v>
      </c>
      <c r="I46" s="20" t="e">
        <f>DATEDIF(#REF!,#REF!,"y") &amp; " años " &amp; DATEDIF(#REF!,#REF!,"ym") &amp; " meses " &amp; DATEDIF(#REF!,#REF!,"md") &amp; " días"</f>
        <v>#REF!</v>
      </c>
      <c r="J46" s="172"/>
      <c r="K46" s="179"/>
      <c r="L46" s="173"/>
      <c r="M46" s="69">
        <v>27563.58</v>
      </c>
      <c r="N46" s="26" t="s">
        <v>336</v>
      </c>
    </row>
    <row r="47" spans="1:14" s="7" customFormat="1" ht="45" customHeight="1" x14ac:dyDescent="0.2">
      <c r="A47" s="20">
        <v>28</v>
      </c>
      <c r="B47" s="65"/>
      <c r="C47" s="66" t="s">
        <v>56</v>
      </c>
      <c r="D47" s="66" t="s">
        <v>398</v>
      </c>
      <c r="E47" s="67" t="s">
        <v>399</v>
      </c>
      <c r="F47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47" s="68">
        <v>1</v>
      </c>
      <c r="H47" s="20" t="e">
        <f>DATEDIF(#REF!,#REF!,"y") &amp; " años " &amp; DATEDIF(#REF!,#REF!,"ym") &amp; " meses " &amp; DATEDIF(#REF!,#REF!,"md") &amp; " días"</f>
        <v>#REF!</v>
      </c>
      <c r="I47" s="20" t="e">
        <f>DATEDIF(#REF!,#REF!,"y") &amp; " años " &amp; DATEDIF(#REF!,#REF!,"ym") &amp; " meses " &amp; DATEDIF(#REF!,#REF!,"md") &amp; " días"</f>
        <v>#REF!</v>
      </c>
      <c r="J47" s="172"/>
      <c r="K47" s="179"/>
      <c r="L47" s="173"/>
      <c r="M47" s="69">
        <f>29343.32</f>
        <v>29343.32</v>
      </c>
      <c r="N47" s="26" t="s">
        <v>336</v>
      </c>
    </row>
    <row r="48" spans="1:14" s="7" customFormat="1" ht="45" customHeight="1" x14ac:dyDescent="0.2">
      <c r="A48" s="20">
        <v>29</v>
      </c>
      <c r="B48" s="65"/>
      <c r="C48" s="66" t="s">
        <v>56</v>
      </c>
      <c r="D48" s="66" t="s">
        <v>400</v>
      </c>
      <c r="E48" s="67" t="s">
        <v>401</v>
      </c>
      <c r="F48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48" s="68">
        <v>1</v>
      </c>
      <c r="H48" s="20" t="e">
        <f>DATEDIF(#REF!,#REF!,"y") &amp; " años " &amp; DATEDIF(#REF!,#REF!,"ym") &amp; " meses " &amp; DATEDIF(#REF!,#REF!,"md") &amp; " días"</f>
        <v>#REF!</v>
      </c>
      <c r="I48" s="20" t="e">
        <f>DATEDIF(#REF!,#REF!,"y") &amp; " años " &amp; DATEDIF(#REF!,#REF!,"ym") &amp; " meses " &amp; DATEDIF(#REF!,#REF!,"md") &amp; " días"</f>
        <v>#REF!</v>
      </c>
      <c r="J48" s="172"/>
      <c r="K48" s="179"/>
      <c r="L48" s="173"/>
      <c r="M48" s="69">
        <f>27563.58</f>
        <v>27563.58</v>
      </c>
      <c r="N48" s="26" t="s">
        <v>336</v>
      </c>
    </row>
    <row r="49" spans="1:14" s="7" customFormat="1" ht="45" customHeight="1" x14ac:dyDescent="0.2">
      <c r="A49" s="20">
        <v>30</v>
      </c>
      <c r="B49" s="65"/>
      <c r="C49" s="66" t="s">
        <v>56</v>
      </c>
      <c r="D49" s="66" t="s">
        <v>402</v>
      </c>
      <c r="E49" s="67" t="s">
        <v>403</v>
      </c>
      <c r="F49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49" s="68">
        <v>0.97</v>
      </c>
      <c r="H49" s="20" t="e">
        <f>DATEDIF(#REF!,#REF!,"y") &amp; " años " &amp; DATEDIF(#REF!,#REF!,"ym") &amp; " meses " &amp; DATEDIF(#REF!,#REF!,"md") &amp; " días"</f>
        <v>#REF!</v>
      </c>
      <c r="I49" s="20" t="e">
        <f>DATEDIF(#REF!,#REF!,"y") &amp; " años " &amp; DATEDIF(#REF!,#REF!,"ym") &amp; " meses " &amp; DATEDIF(#REF!,#REF!,"md") &amp; " días"</f>
        <v>#REF!</v>
      </c>
      <c r="J49" s="172"/>
      <c r="K49" s="179"/>
      <c r="L49" s="173"/>
      <c r="M49" s="69">
        <v>60000</v>
      </c>
      <c r="N49" s="26" t="s">
        <v>336</v>
      </c>
    </row>
    <row r="50" spans="1:14" s="7" customFormat="1" ht="45" customHeight="1" x14ac:dyDescent="0.2">
      <c r="A50" s="20">
        <v>31</v>
      </c>
      <c r="B50" s="65"/>
      <c r="C50" s="66" t="s">
        <v>56</v>
      </c>
      <c r="D50" s="66" t="s">
        <v>404</v>
      </c>
      <c r="E50" s="67" t="s">
        <v>405</v>
      </c>
      <c r="F50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50" s="68">
        <v>1</v>
      </c>
      <c r="H50" s="20" t="e">
        <f>DATEDIF(#REF!,#REF!,"y") &amp; " años " &amp; DATEDIF(#REF!,#REF!,"ym") &amp; " meses " &amp; DATEDIF(#REF!,#REF!,"md") &amp; " días"</f>
        <v>#REF!</v>
      </c>
      <c r="I50" s="20" t="e">
        <f>DATEDIF(#REF!,#REF!,"y") &amp; " años " &amp; DATEDIF(#REF!,#REF!,"ym") &amp; " meses " &amp; DATEDIF(#REF!,#REF!,"md") &amp; " días"</f>
        <v>#REF!</v>
      </c>
      <c r="J50" s="172"/>
      <c r="K50" s="179"/>
      <c r="L50" s="173"/>
      <c r="M50" s="69">
        <f>29343.32</f>
        <v>29343.32</v>
      </c>
      <c r="N50" s="26" t="s">
        <v>336</v>
      </c>
    </row>
    <row r="51" spans="1:14" s="7" customFormat="1" ht="45" customHeight="1" x14ac:dyDescent="0.2">
      <c r="A51" s="20">
        <v>32</v>
      </c>
      <c r="B51" s="65"/>
      <c r="C51" s="66" t="s">
        <v>56</v>
      </c>
      <c r="D51" s="66" t="s">
        <v>406</v>
      </c>
      <c r="E51" s="67" t="s">
        <v>407</v>
      </c>
      <c r="F51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51" s="68">
        <v>0.97</v>
      </c>
      <c r="H51" s="20" t="e">
        <f>DATEDIF(#REF!,#REF!,"y") &amp; " años " &amp; DATEDIF(#REF!,#REF!,"ym") &amp; " meses " &amp; DATEDIF(#REF!,#REF!,"md") &amp; " días"</f>
        <v>#REF!</v>
      </c>
      <c r="I51" s="20" t="e">
        <f>DATEDIF(#REF!,#REF!,"y") &amp; " años " &amp; DATEDIF(#REF!,#REF!,"ym") &amp; " meses " &amp; DATEDIF(#REF!,#REF!,"md") &amp; " días"</f>
        <v>#REF!</v>
      </c>
      <c r="J51" s="172"/>
      <c r="K51" s="179"/>
      <c r="L51" s="173"/>
      <c r="M51" s="69">
        <f>29343.32</f>
        <v>29343.32</v>
      </c>
      <c r="N51" s="26" t="s">
        <v>336</v>
      </c>
    </row>
    <row r="52" spans="1:14" s="7" customFormat="1" ht="45" customHeight="1" x14ac:dyDescent="0.2">
      <c r="A52" s="20">
        <v>33</v>
      </c>
      <c r="B52" s="65"/>
      <c r="C52" s="66" t="s">
        <v>56</v>
      </c>
      <c r="D52" s="66" t="s">
        <v>408</v>
      </c>
      <c r="E52" s="67" t="s">
        <v>409</v>
      </c>
      <c r="F52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52" s="68">
        <v>1</v>
      </c>
      <c r="H52" s="20" t="e">
        <f>DATEDIF(#REF!,#REF!,"y") &amp; " años " &amp; DATEDIF(#REF!,#REF!,"ym") &amp; " meses " &amp; DATEDIF(#REF!,#REF!,"md") &amp; " días"</f>
        <v>#REF!</v>
      </c>
      <c r="I52" s="20" t="e">
        <f>DATEDIF(#REF!,#REF!,"y") &amp; " años " &amp; DATEDIF(#REF!,#REF!,"ym") &amp; " meses " &amp; DATEDIF(#REF!,#REF!,"md") &amp; " días"</f>
        <v>#REF!</v>
      </c>
      <c r="J52" s="172" t="s">
        <v>13</v>
      </c>
      <c r="K52" s="179"/>
      <c r="L52" s="173"/>
      <c r="M52" s="69">
        <f>29343.32</f>
        <v>29343.32</v>
      </c>
      <c r="N52" s="26" t="s">
        <v>336</v>
      </c>
    </row>
    <row r="53" spans="1:14" s="7" customFormat="1" ht="45" customHeight="1" x14ac:dyDescent="0.25">
      <c r="A53" s="20">
        <v>34</v>
      </c>
      <c r="B53" s="20"/>
      <c r="C53" s="66" t="s">
        <v>410</v>
      </c>
      <c r="D53" s="66" t="s">
        <v>411</v>
      </c>
      <c r="E53" s="67" t="s">
        <v>412</v>
      </c>
      <c r="F53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53" s="68">
        <v>1</v>
      </c>
      <c r="H53" s="20" t="e">
        <f>DATEDIF(#REF!,#REF!,"y") &amp; " años " &amp; DATEDIF(#REF!,#REF!,"ym") &amp; " meses " &amp; DATEDIF(#REF!,#REF!,"md") &amp; " días"</f>
        <v>#REF!</v>
      </c>
      <c r="I53" s="20" t="e">
        <f>DATEDIF(#REF!,#REF!,"y") &amp; " años " &amp; DATEDIF(#REF!,#REF!,"ym") &amp; " meses " &amp; DATEDIF(#REF!,#REF!,"md") &amp; " días"</f>
        <v>#REF!</v>
      </c>
      <c r="J53" s="172"/>
      <c r="K53" s="179"/>
      <c r="L53" s="173"/>
      <c r="M53" s="69">
        <f>29343.32+12000</f>
        <v>41343.32</v>
      </c>
      <c r="N53" s="26" t="s">
        <v>337</v>
      </c>
    </row>
    <row r="54" spans="1:14" s="7" customFormat="1" ht="45" customHeight="1" x14ac:dyDescent="0.25">
      <c r="A54" s="20">
        <v>35</v>
      </c>
      <c r="B54" s="20"/>
      <c r="C54" s="66" t="s">
        <v>410</v>
      </c>
      <c r="D54" s="66" t="s">
        <v>413</v>
      </c>
      <c r="E54" s="67" t="s">
        <v>414</v>
      </c>
      <c r="F54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54" s="68">
        <v>1</v>
      </c>
      <c r="H54" s="20" t="e">
        <f>DATEDIF(#REF!,#REF!,"y") &amp; " años " &amp; DATEDIF(#REF!,#REF!,"ym") &amp; " meses " &amp; DATEDIF(#REF!,#REF!,"md") &amp; " días"</f>
        <v>#REF!</v>
      </c>
      <c r="I54" s="20" t="e">
        <f>DATEDIF(#REF!,#REF!,"y") &amp; " años " &amp; DATEDIF(#REF!,#REF!,"ym") &amp; " meses " &amp; DATEDIF(#REF!,#REF!,"md") &amp; " días"</f>
        <v>#REF!</v>
      </c>
      <c r="J54" s="172"/>
      <c r="K54" s="179"/>
      <c r="L54" s="173"/>
      <c r="M54" s="69">
        <v>29343.32</v>
      </c>
      <c r="N54" s="26" t="s">
        <v>337</v>
      </c>
    </row>
    <row r="55" spans="1:14" s="7" customFormat="1" ht="45" customHeight="1" x14ac:dyDescent="0.25">
      <c r="A55" s="20">
        <v>36</v>
      </c>
      <c r="B55" s="20"/>
      <c r="C55" s="66" t="s">
        <v>410</v>
      </c>
      <c r="D55" s="66" t="s">
        <v>415</v>
      </c>
      <c r="E55" s="67" t="s">
        <v>416</v>
      </c>
      <c r="F55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55" s="68">
        <v>1</v>
      </c>
      <c r="H55" s="20" t="e">
        <f>DATEDIF(#REF!,#REF!,"y") &amp; " años " &amp; DATEDIF(#REF!,#REF!,"ym") &amp; " meses " &amp; DATEDIF(#REF!,#REF!,"md") &amp; " días"</f>
        <v>#REF!</v>
      </c>
      <c r="I55" s="20" t="e">
        <f>DATEDIF(#REF!,#REF!,"y") &amp; " años " &amp; DATEDIF(#REF!,#REF!,"ym") &amp; " meses " &amp; DATEDIF(#REF!,#REF!,"md") &amp; " días"</f>
        <v>#REF!</v>
      </c>
      <c r="J55" s="172"/>
      <c r="K55" s="179"/>
      <c r="L55" s="173"/>
      <c r="M55" s="69">
        <v>29343.32</v>
      </c>
      <c r="N55" s="26" t="s">
        <v>337</v>
      </c>
    </row>
    <row r="56" spans="1:14" s="7" customFormat="1" ht="45" customHeight="1" x14ac:dyDescent="0.25">
      <c r="A56" s="20">
        <v>37</v>
      </c>
      <c r="B56" s="20"/>
      <c r="C56" s="66" t="s">
        <v>77</v>
      </c>
      <c r="D56" s="66" t="s">
        <v>417</v>
      </c>
      <c r="E56" s="67" t="s">
        <v>418</v>
      </c>
      <c r="F56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56" s="68">
        <v>0.7</v>
      </c>
      <c r="H56" s="20" t="e">
        <f>DATEDIF(#REF!,#REF!,"y") &amp; " años " &amp; DATEDIF(#REF!,#REF!,"ym") &amp; " meses " &amp; DATEDIF(#REF!,#REF!,"md") &amp; " días"</f>
        <v>#REF!</v>
      </c>
      <c r="I56" s="20" t="e">
        <f>DATEDIF(#REF!,#REF!,"y") &amp; " años " &amp; DATEDIF(#REF!,#REF!,"ym") &amp; " meses " &amp; DATEDIF(#REF!,#REF!,"md") &amp; " días"</f>
        <v>#REF!</v>
      </c>
      <c r="J56" s="172"/>
      <c r="K56" s="179"/>
      <c r="L56" s="173"/>
      <c r="M56" s="69">
        <v>28032.69</v>
      </c>
      <c r="N56" s="26" t="s">
        <v>338</v>
      </c>
    </row>
    <row r="57" spans="1:14" s="7" customFormat="1" ht="45" customHeight="1" x14ac:dyDescent="0.25">
      <c r="A57" s="20">
        <v>38</v>
      </c>
      <c r="B57" s="20"/>
      <c r="C57" s="66" t="s">
        <v>77</v>
      </c>
      <c r="D57" s="66" t="s">
        <v>419</v>
      </c>
      <c r="E57" s="67" t="s">
        <v>420</v>
      </c>
      <c r="F57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57" s="68">
        <v>0.67500000000000004</v>
      </c>
      <c r="H57" s="20" t="e">
        <f>DATEDIF(#REF!,#REF!,"y") &amp; " años " &amp; DATEDIF(#REF!,#REF!,"ym") &amp; " meses " &amp; DATEDIF(#REF!,#REF!,"md") &amp; " días"</f>
        <v>#REF!</v>
      </c>
      <c r="I57" s="20" t="e">
        <f>DATEDIF(#REF!,#REF!,"y") &amp; " años " &amp; DATEDIF(#REF!,#REF!,"ym") &amp; " meses " &amp; DATEDIF(#REF!,#REF!,"md") &amp; " días"</f>
        <v>#REF!</v>
      </c>
      <c r="J57" s="172"/>
      <c r="K57" s="179"/>
      <c r="L57" s="173"/>
      <c r="M57" s="69">
        <v>28032.68</v>
      </c>
      <c r="N57" s="26" t="s">
        <v>338</v>
      </c>
    </row>
    <row r="58" spans="1:14" s="7" customFormat="1" ht="45" customHeight="1" x14ac:dyDescent="0.2">
      <c r="A58" s="20">
        <v>39</v>
      </c>
      <c r="B58" s="65"/>
      <c r="C58" s="66" t="s">
        <v>87</v>
      </c>
      <c r="D58" s="66" t="s">
        <v>421</v>
      </c>
      <c r="E58" s="67" t="s">
        <v>422</v>
      </c>
      <c r="F58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58" s="68">
        <v>1</v>
      </c>
      <c r="H58" s="20" t="e">
        <f>DATEDIF(#REF!,#REF!,"y") &amp; " años " &amp; DATEDIF(#REF!,#REF!,"ym") &amp; " meses " &amp; DATEDIF(#REF!,#REF!,"md") &amp; " días"</f>
        <v>#REF!</v>
      </c>
      <c r="I58" s="20" t="e">
        <f>DATEDIF(#REF!,#REF!,"y") &amp; " años " &amp; DATEDIF(#REF!,#REF!,"ym") &amp; " meses " &amp; DATEDIF(#REF!,#REF!,"md") &amp; " días"</f>
        <v>#REF!</v>
      </c>
      <c r="J58" s="172" t="s">
        <v>13</v>
      </c>
      <c r="K58" s="179"/>
      <c r="L58" s="173"/>
      <c r="M58" s="69">
        <f>27563.58</f>
        <v>27563.58</v>
      </c>
      <c r="N58" s="26" t="s">
        <v>336</v>
      </c>
    </row>
    <row r="59" spans="1:14" s="7" customFormat="1" ht="45" customHeight="1" x14ac:dyDescent="0.2">
      <c r="A59" s="20">
        <v>40</v>
      </c>
      <c r="B59" s="65"/>
      <c r="C59" s="66" t="s">
        <v>87</v>
      </c>
      <c r="D59" s="66" t="s">
        <v>423</v>
      </c>
      <c r="E59" s="67" t="s">
        <v>424</v>
      </c>
      <c r="F59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59" s="68">
        <v>0.75</v>
      </c>
      <c r="H59" s="20" t="e">
        <f>DATEDIF(#REF!,#REF!,"y") &amp; " años " &amp; DATEDIF(#REF!,#REF!,"ym") &amp; " meses " &amp; DATEDIF(#REF!,#REF!,"md") &amp; " días"</f>
        <v>#REF!</v>
      </c>
      <c r="I59" s="20" t="e">
        <f>DATEDIF(#REF!,#REF!,"y") &amp; " años " &amp; DATEDIF(#REF!,#REF!,"ym") &amp; " meses " &amp; DATEDIF(#REF!,#REF!,"md") &amp; " días"</f>
        <v>#REF!</v>
      </c>
      <c r="J59" s="172"/>
      <c r="K59" s="179"/>
      <c r="L59" s="173"/>
      <c r="M59" s="69">
        <f>25039.84+8000</f>
        <v>33039.839999999997</v>
      </c>
      <c r="N59" s="26" t="s">
        <v>336</v>
      </c>
    </row>
    <row r="60" spans="1:14" s="7" customFormat="1" ht="45" customHeight="1" x14ac:dyDescent="0.2">
      <c r="A60" s="20">
        <v>41</v>
      </c>
      <c r="B60" s="65"/>
      <c r="C60" s="66" t="s">
        <v>87</v>
      </c>
      <c r="D60" s="66" t="s">
        <v>425</v>
      </c>
      <c r="E60" s="67" t="s">
        <v>426</v>
      </c>
      <c r="F60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60" s="68">
        <v>0.77500000000000002</v>
      </c>
      <c r="H60" s="20" t="e">
        <f>DATEDIF(#REF!,#REF!,"y") &amp; " años " &amp; DATEDIF(#REF!,#REF!,"ym") &amp; " meses " &amp; DATEDIF(#REF!,#REF!,"md") &amp; " días"</f>
        <v>#REF!</v>
      </c>
      <c r="I60" s="20" t="e">
        <f>DATEDIF(#REF!,#REF!,"y") &amp; " años " &amp; DATEDIF(#REF!,#REF!,"ym") &amp; " meses " &amp; DATEDIF(#REF!,#REF!,"md") &amp; " días"</f>
        <v>#REF!</v>
      </c>
      <c r="J60" s="172"/>
      <c r="K60" s="179"/>
      <c r="L60" s="173"/>
      <c r="M60" s="69">
        <v>25039.85</v>
      </c>
      <c r="N60" s="26" t="s">
        <v>336</v>
      </c>
    </row>
    <row r="61" spans="1:14" s="7" customFormat="1" ht="45" customHeight="1" x14ac:dyDescent="0.2">
      <c r="A61" s="20">
        <v>42</v>
      </c>
      <c r="B61" s="65"/>
      <c r="C61" s="66" t="s">
        <v>87</v>
      </c>
      <c r="D61" s="66" t="s">
        <v>427</v>
      </c>
      <c r="E61" s="67" t="s">
        <v>428</v>
      </c>
      <c r="F61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61" s="68">
        <v>0.85</v>
      </c>
      <c r="H61" s="20" t="e">
        <f>DATEDIF(#REF!,#REF!,"y") &amp; " años " &amp; DATEDIF(#REF!,#REF!,"ym") &amp; " meses " &amp; DATEDIF(#REF!,#REF!,"md") &amp; " días"</f>
        <v>#REF!</v>
      </c>
      <c r="I61" s="20" t="e">
        <f>DATEDIF(#REF!,#REF!,"y") &amp; " años " &amp; DATEDIF(#REF!,#REF!,"ym") &amp; " meses " &amp; DATEDIF(#REF!,#REF!,"md") &amp; " días"</f>
        <v>#REF!</v>
      </c>
      <c r="J61" s="172"/>
      <c r="K61" s="179"/>
      <c r="L61" s="173"/>
      <c r="M61" s="69">
        <f>25039.85+8000</f>
        <v>33039.85</v>
      </c>
      <c r="N61" s="26" t="s">
        <v>336</v>
      </c>
    </row>
    <row r="62" spans="1:14" s="7" customFormat="1" ht="45" customHeight="1" x14ac:dyDescent="0.2">
      <c r="A62" s="20">
        <v>43</v>
      </c>
      <c r="B62" s="65"/>
      <c r="C62" s="66" t="s">
        <v>87</v>
      </c>
      <c r="D62" s="66" t="s">
        <v>429</v>
      </c>
      <c r="E62" s="67" t="s">
        <v>430</v>
      </c>
      <c r="F62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62" s="68">
        <v>0.91</v>
      </c>
      <c r="H62" s="20" t="e">
        <f>DATEDIF(#REF!,#REF!,"y") &amp; " años " &amp; DATEDIF(#REF!,#REF!,"ym") &amp; " meses " &amp; DATEDIF(#REF!,#REF!,"md") &amp; " días"</f>
        <v>#REF!</v>
      </c>
      <c r="I62" s="20" t="e">
        <f>DATEDIF(#REF!,#REF!,"y") &amp; " años " &amp; DATEDIF(#REF!,#REF!,"ym") &amp; " meses " &amp; DATEDIF(#REF!,#REF!,"md") &amp; " días"</f>
        <v>#REF!</v>
      </c>
      <c r="J62" s="172" t="s">
        <v>13</v>
      </c>
      <c r="K62" s="179"/>
      <c r="L62" s="173"/>
      <c r="M62" s="69">
        <v>27563.57</v>
      </c>
      <c r="N62" s="26" t="s">
        <v>336</v>
      </c>
    </row>
    <row r="63" spans="1:14" s="7" customFormat="1" ht="45" customHeight="1" x14ac:dyDescent="0.2">
      <c r="A63" s="20">
        <v>44</v>
      </c>
      <c r="B63" s="65"/>
      <c r="C63" s="66" t="s">
        <v>87</v>
      </c>
      <c r="D63" s="66" t="s">
        <v>431</v>
      </c>
      <c r="E63" s="67" t="s">
        <v>432</v>
      </c>
      <c r="F63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63" s="68">
        <v>0.8</v>
      </c>
      <c r="H63" s="20" t="e">
        <f>DATEDIF(#REF!,#REF!,"y") &amp; " años " &amp; DATEDIF(#REF!,#REF!,"ym") &amp; " meses " &amp; DATEDIF(#REF!,#REF!,"md") &amp; " días"</f>
        <v>#REF!</v>
      </c>
      <c r="I63" s="20" t="e">
        <f>DATEDIF(#REF!,#REF!,"y") &amp; " años " &amp; DATEDIF(#REF!,#REF!,"ym") &amp; " meses " &amp; DATEDIF(#REF!,#REF!,"md") &amp; " días"</f>
        <v>#REF!</v>
      </c>
      <c r="J63" s="172"/>
      <c r="K63" s="179"/>
      <c r="L63" s="173"/>
      <c r="M63" s="69">
        <f>25039.85</f>
        <v>25039.85</v>
      </c>
      <c r="N63" s="26" t="s">
        <v>336</v>
      </c>
    </row>
    <row r="64" spans="1:14" s="7" customFormat="1" ht="45" customHeight="1" x14ac:dyDescent="0.2">
      <c r="A64" s="20">
        <v>45</v>
      </c>
      <c r="B64" s="65"/>
      <c r="C64" s="66" t="s">
        <v>87</v>
      </c>
      <c r="D64" s="66" t="s">
        <v>433</v>
      </c>
      <c r="E64" s="67" t="s">
        <v>434</v>
      </c>
      <c r="F64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64" s="68">
        <v>0.77500000000000002</v>
      </c>
      <c r="H64" s="20" t="e">
        <f>DATEDIF(#REF!,#REF!,"y") &amp; " años " &amp; DATEDIF(#REF!,#REF!,"ym") &amp; " meses " &amp; DATEDIF(#REF!,#REF!,"md") &amp; " días"</f>
        <v>#REF!</v>
      </c>
      <c r="I64" s="20" t="e">
        <f>DATEDIF(#REF!,#REF!,"y") &amp; " años " &amp; DATEDIF(#REF!,#REF!,"ym") &amp; " meses " &amp; DATEDIF(#REF!,#REF!,"md") &amp; " días"</f>
        <v>#REF!</v>
      </c>
      <c r="J64" s="172"/>
      <c r="K64" s="179"/>
      <c r="L64" s="173"/>
      <c r="M64" s="69">
        <v>25039.85</v>
      </c>
      <c r="N64" s="26" t="s">
        <v>336</v>
      </c>
    </row>
    <row r="65" spans="1:14" s="7" customFormat="1" ht="45" customHeight="1" x14ac:dyDescent="0.2">
      <c r="A65" s="20">
        <v>46</v>
      </c>
      <c r="B65" s="65"/>
      <c r="C65" s="66" t="s">
        <v>87</v>
      </c>
      <c r="D65" s="66" t="s">
        <v>435</v>
      </c>
      <c r="E65" s="67" t="s">
        <v>436</v>
      </c>
      <c r="F65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65" s="68">
        <v>0.625</v>
      </c>
      <c r="H65" s="20" t="e">
        <f>DATEDIF(#REF!,#REF!,"y") &amp; " años " &amp; DATEDIF(#REF!,#REF!,"ym") &amp; " meses " &amp; DATEDIF(#REF!,#REF!,"md") &amp; " días"</f>
        <v>#REF!</v>
      </c>
      <c r="I65" s="20" t="e">
        <f>DATEDIF(#REF!,#REF!,"y") &amp; " años " &amp; DATEDIF(#REF!,#REF!,"ym") &amp; " meses " &amp; DATEDIF(#REF!,#REF!,"md") &amp; " días"</f>
        <v>#REF!</v>
      </c>
      <c r="J65" s="172"/>
      <c r="K65" s="179"/>
      <c r="L65" s="173"/>
      <c r="M65" s="69">
        <f>27563.57</f>
        <v>27563.57</v>
      </c>
      <c r="N65" s="26" t="s">
        <v>336</v>
      </c>
    </row>
    <row r="66" spans="1:14" s="7" customFormat="1" ht="45" customHeight="1" x14ac:dyDescent="0.2">
      <c r="A66" s="20">
        <v>47</v>
      </c>
      <c r="B66" s="65"/>
      <c r="C66" s="66" t="s">
        <v>87</v>
      </c>
      <c r="D66" s="66" t="s">
        <v>437</v>
      </c>
      <c r="E66" s="67" t="s">
        <v>438</v>
      </c>
      <c r="F66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66" s="68">
        <v>0.82499999999999996</v>
      </c>
      <c r="H66" s="20" t="e">
        <f>DATEDIF(#REF!,#REF!,"y") &amp; " años " &amp; DATEDIF(#REF!,#REF!,"ym") &amp; " meses " &amp; DATEDIF(#REF!,#REF!,"md") &amp; " días"</f>
        <v>#REF!</v>
      </c>
      <c r="I66" s="20" t="e">
        <f>DATEDIF(#REF!,#REF!,"y") &amp; " años " &amp; DATEDIF(#REF!,#REF!,"ym") &amp; " meses " &amp; DATEDIF(#REF!,#REF!,"md") &amp; " días"</f>
        <v>#REF!</v>
      </c>
      <c r="J66" s="172" t="s">
        <v>13</v>
      </c>
      <c r="K66" s="179"/>
      <c r="L66" s="173"/>
      <c r="M66" s="69">
        <v>27563.58</v>
      </c>
      <c r="N66" s="26" t="s">
        <v>336</v>
      </c>
    </row>
    <row r="67" spans="1:14" s="7" customFormat="1" ht="45" customHeight="1" x14ac:dyDescent="0.2">
      <c r="A67" s="20">
        <v>48</v>
      </c>
      <c r="B67" s="65"/>
      <c r="C67" s="66" t="s">
        <v>87</v>
      </c>
      <c r="D67" s="66" t="s">
        <v>439</v>
      </c>
      <c r="E67" s="67" t="s">
        <v>440</v>
      </c>
      <c r="F67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67" s="68">
        <v>0.67500000000000004</v>
      </c>
      <c r="H67" s="20" t="e">
        <f>DATEDIF(#REF!,#REF!,"y") &amp; " años " &amp; DATEDIF(#REF!,#REF!,"ym") &amp; " meses " &amp; DATEDIF(#REF!,#REF!,"md") &amp; " días"</f>
        <v>#REF!</v>
      </c>
      <c r="I67" s="20" t="e">
        <f>DATEDIF(#REF!,#REF!,"y") &amp; " años " &amp; DATEDIF(#REF!,#REF!,"ym") &amp; " meses " &amp; DATEDIF(#REF!,#REF!,"md") &amp; " días"</f>
        <v>#REF!</v>
      </c>
      <c r="J67" s="172"/>
      <c r="K67" s="179"/>
      <c r="L67" s="173"/>
      <c r="M67" s="69">
        <f>27563.57</f>
        <v>27563.57</v>
      </c>
      <c r="N67" s="26" t="s">
        <v>336</v>
      </c>
    </row>
    <row r="68" spans="1:14" s="7" customFormat="1" ht="45" customHeight="1" x14ac:dyDescent="0.2">
      <c r="A68" s="20">
        <v>49</v>
      </c>
      <c r="B68" s="65"/>
      <c r="C68" s="66" t="s">
        <v>87</v>
      </c>
      <c r="D68" s="66" t="s">
        <v>441</v>
      </c>
      <c r="E68" s="67" t="s">
        <v>442</v>
      </c>
      <c r="F68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68" s="68">
        <v>0.88</v>
      </c>
      <c r="H68" s="20" t="e">
        <f>DATEDIF(#REF!,#REF!,"y") &amp; " años " &amp; DATEDIF(#REF!,#REF!,"ym") &amp; " meses " &amp; DATEDIF(#REF!,#REF!,"md") &amp; " días"</f>
        <v>#REF!</v>
      </c>
      <c r="I68" s="20" t="e">
        <f>DATEDIF(#REF!,#REF!,"y") &amp; " años " &amp; DATEDIF(#REF!,#REF!,"ym") &amp; " meses " &amp; DATEDIF(#REF!,#REF!,"md") &amp; " días"</f>
        <v>#REF!</v>
      </c>
      <c r="J68" s="172"/>
      <c r="K68" s="179"/>
      <c r="L68" s="173"/>
      <c r="M68" s="69">
        <v>25039.84</v>
      </c>
      <c r="N68" s="26" t="s">
        <v>336</v>
      </c>
    </row>
    <row r="69" spans="1:14" s="7" customFormat="1" ht="45" customHeight="1" x14ac:dyDescent="0.2">
      <c r="A69" s="20">
        <v>50</v>
      </c>
      <c r="B69" s="65"/>
      <c r="C69" s="66" t="s">
        <v>87</v>
      </c>
      <c r="D69" s="66" t="s">
        <v>443</v>
      </c>
      <c r="E69" s="67" t="s">
        <v>444</v>
      </c>
      <c r="F69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69" s="68">
        <v>1</v>
      </c>
      <c r="H69" s="20" t="e">
        <f>DATEDIF(#REF!,#REF!,"y") &amp; " años " &amp; DATEDIF(#REF!,#REF!,"ym") &amp; " meses " &amp; DATEDIF(#REF!,#REF!,"md") &amp; " días"</f>
        <v>#REF!</v>
      </c>
      <c r="I69" s="20" t="e">
        <f>DATEDIF(#REF!,#REF!,"y") &amp; " años " &amp; DATEDIF(#REF!,#REF!,"ym") &amp; " meses " &amp; DATEDIF(#REF!,#REF!,"md") &amp; " días"</f>
        <v>#REF!</v>
      </c>
      <c r="J69" s="172"/>
      <c r="K69" s="179"/>
      <c r="L69" s="173"/>
      <c r="M69" s="69">
        <f t="shared" ref="M69:M76" si="1">27563.58</f>
        <v>27563.58</v>
      </c>
      <c r="N69" s="26" t="s">
        <v>336</v>
      </c>
    </row>
    <row r="70" spans="1:14" s="7" customFormat="1" ht="45" customHeight="1" x14ac:dyDescent="0.2">
      <c r="A70" s="20">
        <v>51</v>
      </c>
      <c r="B70" s="65"/>
      <c r="C70" s="66" t="s">
        <v>87</v>
      </c>
      <c r="D70" s="66" t="s">
        <v>445</v>
      </c>
      <c r="E70" s="67" t="s">
        <v>446</v>
      </c>
      <c r="F70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70" s="68">
        <v>0.91</v>
      </c>
      <c r="H70" s="20" t="e">
        <f>DATEDIF(#REF!,#REF!,"y") &amp; " años " &amp; DATEDIF(#REF!,#REF!,"ym") &amp; " meses " &amp; DATEDIF(#REF!,#REF!,"md") &amp; " días"</f>
        <v>#REF!</v>
      </c>
      <c r="I70" s="20" t="e">
        <f>DATEDIF(#REF!,#REF!,"y") &amp; " años " &amp; DATEDIF(#REF!,#REF!,"ym") &amp; " meses " &amp; DATEDIF(#REF!,#REF!,"md") &amp; " días"</f>
        <v>#REF!</v>
      </c>
      <c r="J70" s="172"/>
      <c r="K70" s="179"/>
      <c r="L70" s="173"/>
      <c r="M70" s="69">
        <f>27563.57</f>
        <v>27563.57</v>
      </c>
      <c r="N70" s="26" t="s">
        <v>336</v>
      </c>
    </row>
    <row r="71" spans="1:14" s="7" customFormat="1" ht="45" customHeight="1" x14ac:dyDescent="0.2">
      <c r="A71" s="20">
        <v>52</v>
      </c>
      <c r="B71" s="65"/>
      <c r="C71" s="66" t="s">
        <v>87</v>
      </c>
      <c r="D71" s="66" t="s">
        <v>447</v>
      </c>
      <c r="E71" s="67" t="s">
        <v>448</v>
      </c>
      <c r="F71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71" s="68">
        <v>0.91</v>
      </c>
      <c r="H71" s="20" t="e">
        <f>DATEDIF(#REF!,#REF!,"y") &amp; " años " &amp; DATEDIF(#REF!,#REF!,"ym") &amp; " meses " &amp; DATEDIF(#REF!,#REF!,"md") &amp; " días"</f>
        <v>#REF!</v>
      </c>
      <c r="I71" s="20" t="e">
        <f>DATEDIF(#REF!,#REF!,"y") &amp; " años " &amp; DATEDIF(#REF!,#REF!,"ym") &amp; " meses " &amp; DATEDIF(#REF!,#REF!,"md") &amp; " días"</f>
        <v>#REF!</v>
      </c>
      <c r="J71" s="172"/>
      <c r="K71" s="179"/>
      <c r="L71" s="173"/>
      <c r="M71" s="69">
        <f>27563.57</f>
        <v>27563.57</v>
      </c>
      <c r="N71" s="26" t="s">
        <v>336</v>
      </c>
    </row>
    <row r="72" spans="1:14" s="7" customFormat="1" ht="45" customHeight="1" x14ac:dyDescent="0.2">
      <c r="A72" s="20">
        <v>53</v>
      </c>
      <c r="B72" s="65"/>
      <c r="C72" s="66" t="s">
        <v>87</v>
      </c>
      <c r="D72" s="66" t="s">
        <v>449</v>
      </c>
      <c r="E72" s="67" t="s">
        <v>450</v>
      </c>
      <c r="F72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72" s="68">
        <v>0.94</v>
      </c>
      <c r="H72" s="20" t="e">
        <f>DATEDIF(#REF!,#REF!,"y") &amp; " años " &amp; DATEDIF(#REF!,#REF!,"ym") &amp; " meses " &amp; DATEDIF(#REF!,#REF!,"md") &amp; " días"</f>
        <v>#REF!</v>
      </c>
      <c r="I72" s="20" t="e">
        <f>DATEDIF(#REF!,#REF!,"y") &amp; " años " &amp; DATEDIF(#REF!,#REF!,"ym") &amp; " meses " &amp; DATEDIF(#REF!,#REF!,"md") &amp; " días"</f>
        <v>#REF!</v>
      </c>
      <c r="J72" s="172"/>
      <c r="K72" s="179"/>
      <c r="L72" s="173"/>
      <c r="M72" s="69">
        <f>27563.57</f>
        <v>27563.57</v>
      </c>
      <c r="N72" s="26" t="s">
        <v>336</v>
      </c>
    </row>
    <row r="73" spans="1:14" s="7" customFormat="1" ht="45" customHeight="1" x14ac:dyDescent="0.2">
      <c r="A73" s="20">
        <v>54</v>
      </c>
      <c r="B73" s="65"/>
      <c r="C73" s="66" t="s">
        <v>87</v>
      </c>
      <c r="D73" s="66" t="s">
        <v>451</v>
      </c>
      <c r="E73" s="67" t="s">
        <v>452</v>
      </c>
      <c r="F73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73" s="68">
        <v>0.91</v>
      </c>
      <c r="H73" s="20" t="e">
        <f>DATEDIF(#REF!,#REF!,"y") &amp; " años " &amp; DATEDIF(#REF!,#REF!,"ym") &amp; " meses " &amp; DATEDIF(#REF!,#REF!,"md") &amp; " días"</f>
        <v>#REF!</v>
      </c>
      <c r="I73" s="20" t="e">
        <f>DATEDIF(#REF!,#REF!,"y") &amp; " años " &amp; DATEDIF(#REF!,#REF!,"ym") &amp; " meses " &amp; DATEDIF(#REF!,#REF!,"md") &amp; " días"</f>
        <v>#REF!</v>
      </c>
      <c r="J73" s="172"/>
      <c r="K73" s="179"/>
      <c r="L73" s="173"/>
      <c r="M73" s="69">
        <f>27563.57</f>
        <v>27563.57</v>
      </c>
      <c r="N73" s="26" t="s">
        <v>336</v>
      </c>
    </row>
    <row r="74" spans="1:14" s="7" customFormat="1" ht="45" customHeight="1" x14ac:dyDescent="0.2">
      <c r="A74" s="20">
        <v>55</v>
      </c>
      <c r="B74" s="65"/>
      <c r="C74" s="66" t="s">
        <v>87</v>
      </c>
      <c r="D74" s="66" t="s">
        <v>453</v>
      </c>
      <c r="E74" s="67" t="s">
        <v>454</v>
      </c>
      <c r="F74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74" s="68">
        <v>0.88</v>
      </c>
      <c r="H74" s="20" t="e">
        <f>DATEDIF(#REF!,#REF!,"y") &amp; " años " &amp; DATEDIF(#REF!,#REF!,"ym") &amp; " meses " &amp; DATEDIF(#REF!,#REF!,"md") &amp; " días"</f>
        <v>#REF!</v>
      </c>
      <c r="I74" s="20" t="e">
        <f>DATEDIF(#REF!,#REF!,"y") &amp; " años " &amp; DATEDIF(#REF!,#REF!,"ym") &amp; " meses " &amp; DATEDIF(#REF!,#REF!,"md") &amp; " días"</f>
        <v>#REF!</v>
      </c>
      <c r="J74" s="172"/>
      <c r="K74" s="179"/>
      <c r="L74" s="173"/>
      <c r="M74" s="69">
        <f t="shared" si="1"/>
        <v>27563.58</v>
      </c>
      <c r="N74" s="26" t="s">
        <v>336</v>
      </c>
    </row>
    <row r="75" spans="1:14" s="7" customFormat="1" ht="45" customHeight="1" x14ac:dyDescent="0.2">
      <c r="A75" s="20">
        <v>56</v>
      </c>
      <c r="B75" s="65"/>
      <c r="C75" s="66" t="s">
        <v>87</v>
      </c>
      <c r="D75" s="66" t="s">
        <v>455</v>
      </c>
      <c r="E75" s="67" t="s">
        <v>456</v>
      </c>
      <c r="F75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75" s="68">
        <v>0.75</v>
      </c>
      <c r="H75" s="20" t="e">
        <f>DATEDIF(#REF!,#REF!,"y") &amp; " años " &amp; DATEDIF(#REF!,#REF!,"ym") &amp; " meses " &amp; DATEDIF(#REF!,#REF!,"md") &amp; " días"</f>
        <v>#REF!</v>
      </c>
      <c r="I75" s="20" t="e">
        <f>DATEDIF(#REF!,#REF!,"y") &amp; " años " &amp; DATEDIF(#REF!,#REF!,"ym") &amp; " meses " &amp; DATEDIF(#REF!,#REF!,"md") &amp; " días"</f>
        <v>#REF!</v>
      </c>
      <c r="J75" s="172"/>
      <c r="K75" s="179"/>
      <c r="L75" s="173"/>
      <c r="M75" s="69">
        <f>27563.57</f>
        <v>27563.57</v>
      </c>
      <c r="N75" s="26" t="s">
        <v>336</v>
      </c>
    </row>
    <row r="76" spans="1:14" s="7" customFormat="1" ht="45" customHeight="1" x14ac:dyDescent="0.2">
      <c r="A76" s="20">
        <v>57</v>
      </c>
      <c r="B76" s="65"/>
      <c r="C76" s="66" t="s">
        <v>87</v>
      </c>
      <c r="D76" s="66" t="s">
        <v>457</v>
      </c>
      <c r="E76" s="67" t="s">
        <v>458</v>
      </c>
      <c r="F76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76" s="68">
        <v>0.8</v>
      </c>
      <c r="H76" s="20" t="e">
        <f>DATEDIF(#REF!,#REF!,"y") &amp; " años " &amp; DATEDIF(#REF!,#REF!,"ym") &amp; " meses " &amp; DATEDIF(#REF!,#REF!,"md") &amp; " días"</f>
        <v>#REF!</v>
      </c>
      <c r="I76" s="20" t="e">
        <f>DATEDIF(#REF!,#REF!,"y") &amp; " años " &amp; DATEDIF(#REF!,#REF!,"ym") &amp; " meses " &amp; DATEDIF(#REF!,#REF!,"md") &amp; " días"</f>
        <v>#REF!</v>
      </c>
      <c r="J76" s="172"/>
      <c r="K76" s="179"/>
      <c r="L76" s="173"/>
      <c r="M76" s="69">
        <f t="shared" si="1"/>
        <v>27563.58</v>
      </c>
      <c r="N76" s="26" t="s">
        <v>336</v>
      </c>
    </row>
    <row r="77" spans="1:14" s="7" customFormat="1" ht="45" customHeight="1" x14ac:dyDescent="0.2">
      <c r="A77" s="20">
        <v>58</v>
      </c>
      <c r="B77" s="65"/>
      <c r="C77" s="66" t="s">
        <v>87</v>
      </c>
      <c r="D77" s="66" t="s">
        <v>459</v>
      </c>
      <c r="E77" s="67" t="s">
        <v>460</v>
      </c>
      <c r="F77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77" s="68">
        <v>0.77500000000000002</v>
      </c>
      <c r="H77" s="20" t="e">
        <f>DATEDIF(#REF!,#REF!,"y") &amp; " años " &amp; DATEDIF(#REF!,#REF!,"ym") &amp; " meses " &amp; DATEDIF(#REF!,#REF!,"md") &amp; " días"</f>
        <v>#REF!</v>
      </c>
      <c r="I77" s="20" t="e">
        <f>DATEDIF(#REF!,#REF!,"y") &amp; " años " &amp; DATEDIF(#REF!,#REF!,"ym") &amp; " meses " &amp; DATEDIF(#REF!,#REF!,"md") &amp; " días"</f>
        <v>#REF!</v>
      </c>
      <c r="J77" s="172"/>
      <c r="K77" s="179"/>
      <c r="L77" s="173"/>
      <c r="M77" s="69">
        <v>25039.85</v>
      </c>
      <c r="N77" s="26" t="s">
        <v>336</v>
      </c>
    </row>
    <row r="78" spans="1:14" s="7" customFormat="1" ht="45" customHeight="1" x14ac:dyDescent="0.2">
      <c r="A78" s="20">
        <v>59</v>
      </c>
      <c r="B78" s="65"/>
      <c r="C78" s="66" t="s">
        <v>87</v>
      </c>
      <c r="D78" s="66" t="s">
        <v>461</v>
      </c>
      <c r="E78" s="67" t="s">
        <v>462</v>
      </c>
      <c r="F78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78" s="68">
        <v>1</v>
      </c>
      <c r="H78" s="20" t="e">
        <f>DATEDIF(#REF!,#REF!,"y") &amp; " años " &amp; DATEDIF(#REF!,#REF!,"ym") &amp; " meses " &amp; DATEDIF(#REF!,#REF!,"md") &amp; " días"</f>
        <v>#REF!</v>
      </c>
      <c r="I78" s="20" t="e">
        <f>DATEDIF(#REF!,#REF!,"y") &amp; " años " &amp; DATEDIF(#REF!,#REF!,"ym") &amp; " meses " &amp; DATEDIF(#REF!,#REF!,"md") &amp; " días"</f>
        <v>#REF!</v>
      </c>
      <c r="J78" s="172" t="s">
        <v>13</v>
      </c>
      <c r="K78" s="179"/>
      <c r="L78" s="173"/>
      <c r="M78" s="69">
        <f>27563.58</f>
        <v>27563.58</v>
      </c>
      <c r="N78" s="26" t="s">
        <v>336</v>
      </c>
    </row>
    <row r="79" spans="1:14" s="7" customFormat="1" ht="45" customHeight="1" x14ac:dyDescent="0.2">
      <c r="A79" s="20">
        <v>60</v>
      </c>
      <c r="B79" s="65"/>
      <c r="C79" s="66" t="s">
        <v>87</v>
      </c>
      <c r="D79" s="66" t="s">
        <v>463</v>
      </c>
      <c r="E79" s="67" t="s">
        <v>464</v>
      </c>
      <c r="F79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79" s="68">
        <v>1</v>
      </c>
      <c r="H79" s="20" t="e">
        <f>DATEDIF(#REF!,#REF!,"y") &amp; " años " &amp; DATEDIF(#REF!,#REF!,"ym") &amp; " meses " &amp; DATEDIF(#REF!,#REF!,"md") &amp; " días"</f>
        <v>#REF!</v>
      </c>
      <c r="I79" s="20" t="e">
        <f>DATEDIF(#REF!,#REF!,"y") &amp; " años " &amp; DATEDIF(#REF!,#REF!,"ym") &amp; " meses " &amp; DATEDIF(#REF!,#REF!,"md") &amp; " días"</f>
        <v>#REF!</v>
      </c>
      <c r="J79" s="172"/>
      <c r="K79" s="179"/>
      <c r="L79" s="173"/>
      <c r="M79" s="69">
        <f>27563.58</f>
        <v>27563.58</v>
      </c>
      <c r="N79" s="26" t="s">
        <v>336</v>
      </c>
    </row>
    <row r="80" spans="1:14" s="7" customFormat="1" ht="45" customHeight="1" x14ac:dyDescent="0.2">
      <c r="A80" s="20">
        <v>61</v>
      </c>
      <c r="B80" s="65"/>
      <c r="C80" s="66" t="s">
        <v>87</v>
      </c>
      <c r="D80" s="66" t="s">
        <v>465</v>
      </c>
      <c r="E80" s="67" t="s">
        <v>466</v>
      </c>
      <c r="F80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80" s="68">
        <v>0.65</v>
      </c>
      <c r="H80" s="20" t="e">
        <f>DATEDIF(#REF!,#REF!,"y") &amp; " años " &amp; DATEDIF(#REF!,#REF!,"ym") &amp; " meses " &amp; DATEDIF(#REF!,#REF!,"md") &amp; " días"</f>
        <v>#REF!</v>
      </c>
      <c r="I80" s="20" t="e">
        <f>DATEDIF(#REF!,#REF!,"y") &amp; " años " &amp; DATEDIF(#REF!,#REF!,"ym") &amp; " meses " &amp; DATEDIF(#REF!,#REF!,"md") &amp; " días"</f>
        <v>#REF!</v>
      </c>
      <c r="J80" s="172"/>
      <c r="K80" s="179"/>
      <c r="L80" s="173"/>
      <c r="M80" s="69">
        <f>25039.85+8000</f>
        <v>33039.85</v>
      </c>
      <c r="N80" s="26" t="s">
        <v>336</v>
      </c>
    </row>
    <row r="81" spans="1:14" s="7" customFormat="1" ht="45" customHeight="1" x14ac:dyDescent="0.2">
      <c r="A81" s="20">
        <v>62</v>
      </c>
      <c r="B81" s="65"/>
      <c r="C81" s="66" t="s">
        <v>87</v>
      </c>
      <c r="D81" s="66" t="s">
        <v>467</v>
      </c>
      <c r="E81" s="67" t="s">
        <v>468</v>
      </c>
      <c r="F81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81" s="68">
        <v>0.72499999999999998</v>
      </c>
      <c r="H81" s="20" t="e">
        <f>DATEDIF(#REF!,#REF!,"y") &amp; " años " &amp; DATEDIF(#REF!,#REF!,"ym") &amp; " meses " &amp; DATEDIF(#REF!,#REF!,"md") &amp; " días"</f>
        <v>#REF!</v>
      </c>
      <c r="I81" s="20" t="e">
        <f>DATEDIF(#REF!,#REF!,"y") &amp; " años " &amp; DATEDIF(#REF!,#REF!,"ym") &amp; " meses " &amp; DATEDIF(#REF!,#REF!,"md") &amp; " días"</f>
        <v>#REF!</v>
      </c>
      <c r="J81" s="172"/>
      <c r="K81" s="179"/>
      <c r="L81" s="173"/>
      <c r="M81" s="69">
        <f>27563.57</f>
        <v>27563.57</v>
      </c>
      <c r="N81" s="26" t="s">
        <v>336</v>
      </c>
    </row>
    <row r="82" spans="1:14" s="7" customFormat="1" ht="45" customHeight="1" x14ac:dyDescent="0.25">
      <c r="A82" s="20">
        <v>63</v>
      </c>
      <c r="B82" s="20"/>
      <c r="C82" s="66" t="s">
        <v>87</v>
      </c>
      <c r="D82" s="66" t="s">
        <v>469</v>
      </c>
      <c r="E82" s="67" t="s">
        <v>470</v>
      </c>
      <c r="F82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82" s="68">
        <v>1</v>
      </c>
      <c r="H82" s="20" t="e">
        <f>DATEDIF(#REF!,#REF!,"y") &amp; " años " &amp; DATEDIF(#REF!,#REF!,"ym") &amp; " meses " &amp; DATEDIF(#REF!,#REF!,"md") &amp; " días"</f>
        <v>#REF!</v>
      </c>
      <c r="I82" s="20" t="e">
        <f>DATEDIF(#REF!,#REF!,"y") &amp; " años " &amp; DATEDIF(#REF!,#REF!,"ym") &amp; " meses " &amp; DATEDIF(#REF!,#REF!,"md") &amp; " días"</f>
        <v>#REF!</v>
      </c>
      <c r="J82" s="172" t="s">
        <v>13</v>
      </c>
      <c r="K82" s="179"/>
      <c r="L82" s="173"/>
      <c r="M82" s="69">
        <v>27563.58</v>
      </c>
      <c r="N82" s="26" t="s">
        <v>337</v>
      </c>
    </row>
    <row r="83" spans="1:14" s="7" customFormat="1" ht="45" customHeight="1" x14ac:dyDescent="0.25">
      <c r="A83" s="20">
        <v>64</v>
      </c>
      <c r="B83" s="20"/>
      <c r="C83" s="66" t="s">
        <v>87</v>
      </c>
      <c r="D83" s="66" t="s">
        <v>471</v>
      </c>
      <c r="E83" s="67" t="s">
        <v>472</v>
      </c>
      <c r="F83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83" s="68">
        <v>1</v>
      </c>
      <c r="H83" s="20" t="e">
        <f>DATEDIF(#REF!,#REF!,"y") &amp; " años " &amp; DATEDIF(#REF!,#REF!,"ym") &amp; " meses " &amp; DATEDIF(#REF!,#REF!,"md") &amp; " días"</f>
        <v>#REF!</v>
      </c>
      <c r="I83" s="20" t="e">
        <f>DATEDIF(#REF!,#REF!,"y") &amp; " años " &amp; DATEDIF(#REF!,#REF!,"ym") &amp; " meses " &amp; DATEDIF(#REF!,#REF!,"md") &amp; " días"</f>
        <v>#REF!</v>
      </c>
      <c r="J83" s="172"/>
      <c r="K83" s="179"/>
      <c r="L83" s="173"/>
      <c r="M83" s="69">
        <v>27563.58</v>
      </c>
      <c r="N83" s="26" t="s">
        <v>337</v>
      </c>
    </row>
    <row r="84" spans="1:14" s="7" customFormat="1" ht="45" customHeight="1" x14ac:dyDescent="0.25">
      <c r="A84" s="20">
        <v>65</v>
      </c>
      <c r="B84" s="20"/>
      <c r="C84" s="66" t="s">
        <v>118</v>
      </c>
      <c r="D84" s="66" t="s">
        <v>473</v>
      </c>
      <c r="E84" s="67" t="s">
        <v>474</v>
      </c>
      <c r="F84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84" s="68">
        <v>0.82499999999999996</v>
      </c>
      <c r="H84" s="20" t="e">
        <f>DATEDIF(#REF!,#REF!,"y") &amp; " años " &amp; DATEDIF(#REF!,#REF!,"ym") &amp; " meses " &amp; DATEDIF(#REF!,#REF!,"md") &amp; " días"</f>
        <v>#REF!</v>
      </c>
      <c r="I84" s="20" t="e">
        <f>DATEDIF(#REF!,#REF!,"y") &amp; " años " &amp; DATEDIF(#REF!,#REF!,"ym") &amp; " meses " &amp; DATEDIF(#REF!,#REF!,"md") &amp; " días"</f>
        <v>#REF!</v>
      </c>
      <c r="J84" s="172"/>
      <c r="K84" s="179"/>
      <c r="L84" s="173"/>
      <c r="M84" s="69">
        <f>25039.84+8000</f>
        <v>33039.839999999997</v>
      </c>
      <c r="N84" s="26" t="s">
        <v>338</v>
      </c>
    </row>
    <row r="85" spans="1:14" s="7" customFormat="1" ht="45" customHeight="1" x14ac:dyDescent="0.25">
      <c r="A85" s="20">
        <v>66</v>
      </c>
      <c r="B85" s="20"/>
      <c r="C85" s="66" t="s">
        <v>118</v>
      </c>
      <c r="D85" s="66" t="s">
        <v>475</v>
      </c>
      <c r="E85" s="67" t="s">
        <v>476</v>
      </c>
      <c r="F85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85" s="68">
        <v>0.625</v>
      </c>
      <c r="H85" s="20" t="e">
        <f>DATEDIF(#REF!,#REF!,"y") &amp; " años " &amp; DATEDIF(#REF!,#REF!,"ym") &amp; " meses " &amp; DATEDIF(#REF!,#REF!,"md") &amp; " días"</f>
        <v>#REF!</v>
      </c>
      <c r="I85" s="20" t="e">
        <f>DATEDIF(#REF!,#REF!,"y") &amp; " años " &amp; DATEDIF(#REF!,#REF!,"ym") &amp; " meses " &amp; DATEDIF(#REF!,#REF!,"md") &amp; " días"</f>
        <v>#REF!</v>
      </c>
      <c r="J85" s="172"/>
      <c r="K85" s="179"/>
      <c r="L85" s="173"/>
      <c r="M85" s="69">
        <v>21000</v>
      </c>
      <c r="N85" s="26" t="s">
        <v>338</v>
      </c>
    </row>
    <row r="86" spans="1:14" s="7" customFormat="1" ht="45" customHeight="1" x14ac:dyDescent="0.25">
      <c r="A86" s="20">
        <v>67</v>
      </c>
      <c r="B86" s="20"/>
      <c r="C86" s="66" t="s">
        <v>118</v>
      </c>
      <c r="D86" s="66" t="s">
        <v>477</v>
      </c>
      <c r="E86" s="67" t="s">
        <v>478</v>
      </c>
      <c r="F86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86" s="68">
        <v>0.67500000000000004</v>
      </c>
      <c r="H86" s="20" t="e">
        <f>DATEDIF(#REF!,#REF!,"y") &amp; " años " &amp; DATEDIF(#REF!,#REF!,"ym") &amp; " meses " &amp; DATEDIF(#REF!,#REF!,"md") &amp; " días"</f>
        <v>#REF!</v>
      </c>
      <c r="I86" s="20" t="e">
        <f>DATEDIF(#REF!,#REF!,"y") &amp; " años " &amp; DATEDIF(#REF!,#REF!,"ym") &amp; " meses " &amp; DATEDIF(#REF!,#REF!,"md") &amp; " días"</f>
        <v>#REF!</v>
      </c>
      <c r="J86" s="172"/>
      <c r="K86" s="179"/>
      <c r="L86" s="173"/>
      <c r="M86" s="69">
        <v>15000</v>
      </c>
      <c r="N86" s="26" t="s">
        <v>338</v>
      </c>
    </row>
    <row r="87" spans="1:14" s="7" customFormat="1" ht="45" customHeight="1" x14ac:dyDescent="0.25">
      <c r="A87" s="20">
        <v>68</v>
      </c>
      <c r="B87" s="20"/>
      <c r="C87" s="66" t="s">
        <v>118</v>
      </c>
      <c r="D87" s="66" t="s">
        <v>479</v>
      </c>
      <c r="E87" s="67" t="s">
        <v>480</v>
      </c>
      <c r="F87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87" s="68">
        <v>0.88</v>
      </c>
      <c r="H87" s="20" t="e">
        <f>DATEDIF(#REF!,#REF!,"y") &amp; " años " &amp; DATEDIF(#REF!,#REF!,"ym") &amp; " meses " &amp; DATEDIF(#REF!,#REF!,"md") &amp; " días"</f>
        <v>#REF!</v>
      </c>
      <c r="I87" s="20" t="e">
        <f>DATEDIF(#REF!,#REF!,"y") &amp; " años " &amp; DATEDIF(#REF!,#REF!,"ym") &amp; " meses " &amp; DATEDIF(#REF!,#REF!,"md") &amp; " días"</f>
        <v>#REF!</v>
      </c>
      <c r="J87" s="172"/>
      <c r="K87" s="179"/>
      <c r="L87" s="173"/>
      <c r="M87" s="69">
        <v>27563.58</v>
      </c>
      <c r="N87" s="26" t="s">
        <v>338</v>
      </c>
    </row>
    <row r="88" spans="1:14" s="7" customFormat="1" ht="45" customHeight="1" x14ac:dyDescent="0.25">
      <c r="A88" s="20">
        <v>69</v>
      </c>
      <c r="B88" s="20"/>
      <c r="C88" s="66" t="s">
        <v>118</v>
      </c>
      <c r="D88" s="66" t="s">
        <v>481</v>
      </c>
      <c r="E88" s="67" t="s">
        <v>482</v>
      </c>
      <c r="F88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88" s="68">
        <v>0.72499999999999998</v>
      </c>
      <c r="H88" s="20" t="e">
        <f>DATEDIF(#REF!,#REF!,"y") &amp; " años " &amp; DATEDIF(#REF!,#REF!,"ym") &amp; " meses " &amp; DATEDIF(#REF!,#REF!,"md") &amp; " días"</f>
        <v>#REF!</v>
      </c>
      <c r="I88" s="20" t="e">
        <f>DATEDIF(#REF!,#REF!,"y") &amp; " años " &amp; DATEDIF(#REF!,#REF!,"ym") &amp; " meses " &amp; DATEDIF(#REF!,#REF!,"md") &amp; " días"</f>
        <v>#REF!</v>
      </c>
      <c r="J88" s="172"/>
      <c r="K88" s="179"/>
      <c r="L88" s="173"/>
      <c r="M88" s="69">
        <v>25039.85</v>
      </c>
      <c r="N88" s="26" t="s">
        <v>338</v>
      </c>
    </row>
    <row r="89" spans="1:14" s="7" customFormat="1" ht="45" customHeight="1" x14ac:dyDescent="0.2">
      <c r="A89" s="20">
        <v>70</v>
      </c>
      <c r="B89" s="65"/>
      <c r="C89" s="66" t="s">
        <v>122</v>
      </c>
      <c r="D89" s="66" t="s">
        <v>483</v>
      </c>
      <c r="E89" s="67" t="s">
        <v>484</v>
      </c>
      <c r="F89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89" s="68">
        <v>1</v>
      </c>
      <c r="H89" s="20" t="e">
        <f>DATEDIF(#REF!,#REF!,"y") &amp; " años " &amp; DATEDIF(#REF!,#REF!,"ym") &amp; " meses " &amp; DATEDIF(#REF!,#REF!,"md") &amp; " días"</f>
        <v>#REF!</v>
      </c>
      <c r="I89" s="20" t="e">
        <f>DATEDIF(#REF!,#REF!,"y") &amp; " años " &amp; DATEDIF(#REF!,#REF!,"ym") &amp; " meses " &amp; DATEDIF(#REF!,#REF!,"md") &amp; " días"</f>
        <v>#REF!</v>
      </c>
      <c r="J89" s="172"/>
      <c r="K89" s="179"/>
      <c r="L89" s="173"/>
      <c r="M89" s="69">
        <f>25039.85</f>
        <v>25039.85</v>
      </c>
      <c r="N89" s="26" t="s">
        <v>336</v>
      </c>
    </row>
    <row r="90" spans="1:14" s="7" customFormat="1" ht="45" customHeight="1" x14ac:dyDescent="0.2">
      <c r="A90" s="20">
        <v>71</v>
      </c>
      <c r="B90" s="65"/>
      <c r="C90" s="66" t="s">
        <v>122</v>
      </c>
      <c r="D90" s="66" t="s">
        <v>485</v>
      </c>
      <c r="E90" s="67" t="s">
        <v>486</v>
      </c>
      <c r="F90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90" s="68">
        <v>0.65</v>
      </c>
      <c r="H90" s="20" t="e">
        <f>DATEDIF(#REF!,#REF!,"y") &amp; " años " &amp; DATEDIF(#REF!,#REF!,"ym") &amp; " meses " &amp; DATEDIF(#REF!,#REF!,"md") &amp; " días"</f>
        <v>#REF!</v>
      </c>
      <c r="I90" s="20" t="e">
        <f>DATEDIF(#REF!,#REF!,"y") &amp; " años " &amp; DATEDIF(#REF!,#REF!,"ym") &amp; " meses " &amp; DATEDIF(#REF!,#REF!,"md") &amp; " días"</f>
        <v>#REF!</v>
      </c>
      <c r="J90" s="172"/>
      <c r="K90" s="179"/>
      <c r="L90" s="173"/>
      <c r="M90" s="69">
        <v>23826.29</v>
      </c>
      <c r="N90" s="26" t="s">
        <v>336</v>
      </c>
    </row>
    <row r="91" spans="1:14" s="7" customFormat="1" ht="45" customHeight="1" x14ac:dyDescent="0.2">
      <c r="A91" s="20">
        <v>72</v>
      </c>
      <c r="B91" s="65"/>
      <c r="C91" s="66" t="s">
        <v>122</v>
      </c>
      <c r="D91" s="66" t="s">
        <v>487</v>
      </c>
      <c r="E91" s="67" t="s">
        <v>488</v>
      </c>
      <c r="F91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91" s="68">
        <v>0.85</v>
      </c>
      <c r="H91" s="20" t="e">
        <f>DATEDIF(#REF!,#REF!,"y") &amp; " años " &amp; DATEDIF(#REF!,#REF!,"ym") &amp; " meses " &amp; DATEDIF(#REF!,#REF!,"md") &amp; " días"</f>
        <v>#REF!</v>
      </c>
      <c r="I91" s="20" t="e">
        <f>DATEDIF(#REF!,#REF!,"y") &amp; " años " &amp; DATEDIF(#REF!,#REF!,"ym") &amp; " meses " &amp; DATEDIF(#REF!,#REF!,"md") &amp; " días"</f>
        <v>#REF!</v>
      </c>
      <c r="J91" s="172"/>
      <c r="K91" s="179"/>
      <c r="L91" s="173"/>
      <c r="M91" s="69">
        <f>25039.85</f>
        <v>25039.85</v>
      </c>
      <c r="N91" s="26" t="s">
        <v>336</v>
      </c>
    </row>
    <row r="92" spans="1:14" s="7" customFormat="1" ht="45" customHeight="1" x14ac:dyDescent="0.2">
      <c r="A92" s="20">
        <v>73</v>
      </c>
      <c r="B92" s="65"/>
      <c r="C92" s="66" t="s">
        <v>122</v>
      </c>
      <c r="D92" s="66" t="s">
        <v>489</v>
      </c>
      <c r="E92" s="67" t="s">
        <v>490</v>
      </c>
      <c r="F92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92" s="68">
        <v>0.8</v>
      </c>
      <c r="H92" s="20" t="e">
        <f>DATEDIF(#REF!,#REF!,"y") &amp; " años " &amp; DATEDIF(#REF!,#REF!,"ym") &amp; " meses " &amp; DATEDIF(#REF!,#REF!,"md") &amp; " días"</f>
        <v>#REF!</v>
      </c>
      <c r="I92" s="20" t="e">
        <f>DATEDIF(#REF!,#REF!,"y") &amp; " años " &amp; DATEDIF(#REF!,#REF!,"ym") &amp; " meses " &amp; DATEDIF(#REF!,#REF!,"md") &amp; " días"</f>
        <v>#REF!</v>
      </c>
      <c r="J92" s="172"/>
      <c r="K92" s="179"/>
      <c r="L92" s="173"/>
      <c r="M92" s="69">
        <f>25039.85</f>
        <v>25039.85</v>
      </c>
      <c r="N92" s="26" t="s">
        <v>336</v>
      </c>
    </row>
    <row r="93" spans="1:14" s="7" customFormat="1" ht="45" customHeight="1" x14ac:dyDescent="0.2">
      <c r="A93" s="20">
        <v>74</v>
      </c>
      <c r="B93" s="65"/>
      <c r="C93" s="66" t="s">
        <v>122</v>
      </c>
      <c r="D93" s="66" t="s">
        <v>491</v>
      </c>
      <c r="E93" s="67" t="s">
        <v>492</v>
      </c>
      <c r="F93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93" s="68">
        <v>0.91</v>
      </c>
      <c r="H93" s="20" t="e">
        <f>DATEDIF(#REF!,#REF!,"y") &amp; " años " &amp; DATEDIF(#REF!,#REF!,"ym") &amp; " meses " &amp; DATEDIF(#REF!,#REF!,"md") &amp; " días"</f>
        <v>#REF!</v>
      </c>
      <c r="I93" s="20" t="e">
        <f>DATEDIF(#REF!,#REF!,"y") &amp; " años " &amp; DATEDIF(#REF!,#REF!,"ym") &amp; " meses " &amp; DATEDIF(#REF!,#REF!,"md") &amp; " días"</f>
        <v>#REF!</v>
      </c>
      <c r="J93" s="172"/>
      <c r="K93" s="179"/>
      <c r="L93" s="173"/>
      <c r="M93" s="69">
        <f>23826.3</f>
        <v>23826.3</v>
      </c>
      <c r="N93" s="26" t="s">
        <v>336</v>
      </c>
    </row>
    <row r="94" spans="1:14" s="7" customFormat="1" ht="45" customHeight="1" x14ac:dyDescent="0.2">
      <c r="A94" s="20">
        <v>75</v>
      </c>
      <c r="B94" s="65"/>
      <c r="C94" s="66" t="s">
        <v>122</v>
      </c>
      <c r="D94" s="66" t="s">
        <v>493</v>
      </c>
      <c r="E94" s="67" t="s">
        <v>494</v>
      </c>
      <c r="F94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94" s="68">
        <v>0.88</v>
      </c>
      <c r="H94" s="20" t="e">
        <f>DATEDIF(#REF!,#REF!,"y") &amp; " años " &amp; DATEDIF(#REF!,#REF!,"ym") &amp; " meses " &amp; DATEDIF(#REF!,#REF!,"md") &amp; " días"</f>
        <v>#REF!</v>
      </c>
      <c r="I94" s="20" t="e">
        <f>DATEDIF(#REF!,#REF!,"y") &amp; " años " &amp; DATEDIF(#REF!,#REF!,"ym") &amp; " meses " &amp; DATEDIF(#REF!,#REF!,"md") &amp; " días"</f>
        <v>#REF!</v>
      </c>
      <c r="J94" s="172"/>
      <c r="K94" s="179"/>
      <c r="L94" s="173"/>
      <c r="M94" s="69">
        <f>25039.84</f>
        <v>25039.84</v>
      </c>
      <c r="N94" s="26" t="s">
        <v>336</v>
      </c>
    </row>
    <row r="95" spans="1:14" s="7" customFormat="1" ht="45" customHeight="1" x14ac:dyDescent="0.2">
      <c r="A95" s="20">
        <v>76</v>
      </c>
      <c r="B95" s="65"/>
      <c r="C95" s="66" t="s">
        <v>122</v>
      </c>
      <c r="D95" s="66" t="s">
        <v>495</v>
      </c>
      <c r="E95" s="67" t="s">
        <v>496</v>
      </c>
      <c r="F95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95" s="68">
        <v>0.91</v>
      </c>
      <c r="H95" s="20" t="e">
        <f>DATEDIF(#REF!,#REF!,"y") &amp; " años " &amp; DATEDIF(#REF!,#REF!,"ym") &amp; " meses " &amp; DATEDIF(#REF!,#REF!,"md") &amp; " días"</f>
        <v>#REF!</v>
      </c>
      <c r="I95" s="20" t="e">
        <f>DATEDIF(#REF!,#REF!,"y") &amp; " años " &amp; DATEDIF(#REF!,#REF!,"ym") &amp; " meses " &amp; DATEDIF(#REF!,#REF!,"md") &amp; " días"</f>
        <v>#REF!</v>
      </c>
      <c r="J95" s="172"/>
      <c r="K95" s="179"/>
      <c r="L95" s="173"/>
      <c r="M95" s="69">
        <f>25039.85</f>
        <v>25039.85</v>
      </c>
      <c r="N95" s="26" t="s">
        <v>336</v>
      </c>
    </row>
    <row r="96" spans="1:14" s="7" customFormat="1" ht="45" customHeight="1" x14ac:dyDescent="0.2">
      <c r="A96" s="20">
        <v>77</v>
      </c>
      <c r="B96" s="65"/>
      <c r="C96" s="66" t="s">
        <v>122</v>
      </c>
      <c r="D96" s="66" t="s">
        <v>497</v>
      </c>
      <c r="E96" s="67" t="s">
        <v>498</v>
      </c>
      <c r="F96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96" s="68">
        <v>0.72499999999999998</v>
      </c>
      <c r="H96" s="20" t="e">
        <f>DATEDIF(#REF!,#REF!,"y") &amp; " años " &amp; DATEDIF(#REF!,#REF!,"ym") &amp; " meses " &amp; DATEDIF(#REF!,#REF!,"md") &amp; " días"</f>
        <v>#REF!</v>
      </c>
      <c r="I96" s="20" t="e">
        <f>DATEDIF(#REF!,#REF!,"y") &amp; " años " &amp; DATEDIF(#REF!,#REF!,"ym") &amp; " meses " &amp; DATEDIF(#REF!,#REF!,"md") &amp; " días"</f>
        <v>#REF!</v>
      </c>
      <c r="J96" s="172"/>
      <c r="K96" s="179"/>
      <c r="L96" s="173"/>
      <c r="M96" s="69">
        <f>23826.29+8000</f>
        <v>31826.29</v>
      </c>
      <c r="N96" s="26" t="s">
        <v>336</v>
      </c>
    </row>
    <row r="97" spans="1:14" s="7" customFormat="1" ht="45" customHeight="1" x14ac:dyDescent="0.2">
      <c r="A97" s="20">
        <v>78</v>
      </c>
      <c r="B97" s="65"/>
      <c r="C97" s="66" t="s">
        <v>122</v>
      </c>
      <c r="D97" s="66" t="s">
        <v>499</v>
      </c>
      <c r="E97" s="67" t="s">
        <v>500</v>
      </c>
      <c r="F97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97" s="68">
        <v>0.88</v>
      </c>
      <c r="H97" s="20" t="e">
        <f>DATEDIF(#REF!,#REF!,"y") &amp; " años " &amp; DATEDIF(#REF!,#REF!,"ym") &amp; " meses " &amp; DATEDIF(#REF!,#REF!,"md") &amp; " días"</f>
        <v>#REF!</v>
      </c>
      <c r="I97" s="20" t="e">
        <f>DATEDIF(#REF!,#REF!,"y") &amp; " años " &amp; DATEDIF(#REF!,#REF!,"ym") &amp; " meses " &amp; DATEDIF(#REF!,#REF!,"md") &amp; " días"</f>
        <v>#REF!</v>
      </c>
      <c r="J97" s="172"/>
      <c r="K97" s="179"/>
      <c r="L97" s="173"/>
      <c r="M97" s="69">
        <f>25039.85</f>
        <v>25039.85</v>
      </c>
      <c r="N97" s="26" t="s">
        <v>336</v>
      </c>
    </row>
    <row r="98" spans="1:14" s="7" customFormat="1" ht="45" customHeight="1" x14ac:dyDescent="0.2">
      <c r="A98" s="20">
        <v>79</v>
      </c>
      <c r="B98" s="65"/>
      <c r="C98" s="66" t="s">
        <v>122</v>
      </c>
      <c r="D98" s="66" t="s">
        <v>501</v>
      </c>
      <c r="E98" s="67" t="s">
        <v>502</v>
      </c>
      <c r="F98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98" s="68">
        <v>0.625</v>
      </c>
      <c r="H98" s="20" t="e">
        <f>DATEDIF(#REF!,#REF!,"y") &amp; " años " &amp; DATEDIF(#REF!,#REF!,"ym") &amp; " meses " &amp; DATEDIF(#REF!,#REF!,"md") &amp; " días"</f>
        <v>#REF!</v>
      </c>
      <c r="I98" s="20" t="e">
        <f>DATEDIF(#REF!,#REF!,"y") &amp; " años " &amp; DATEDIF(#REF!,#REF!,"ym") &amp; " meses " &amp; DATEDIF(#REF!,#REF!,"md") &amp; " días"</f>
        <v>#REF!</v>
      </c>
      <c r="J98" s="172"/>
      <c r="K98" s="179"/>
      <c r="L98" s="173"/>
      <c r="M98" s="69">
        <v>23826.29</v>
      </c>
      <c r="N98" s="26" t="s">
        <v>336</v>
      </c>
    </row>
    <row r="99" spans="1:14" s="7" customFormat="1" ht="45" customHeight="1" x14ac:dyDescent="0.2">
      <c r="A99" s="20">
        <v>80</v>
      </c>
      <c r="B99" s="65"/>
      <c r="C99" s="66" t="s">
        <v>122</v>
      </c>
      <c r="D99" s="66" t="s">
        <v>503</v>
      </c>
      <c r="E99" s="67" t="s">
        <v>504</v>
      </c>
      <c r="F99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99" s="68">
        <v>0.82499999999999996</v>
      </c>
      <c r="H99" s="20" t="e">
        <f>DATEDIF(#REF!,#REF!,"y") &amp; " años " &amp; DATEDIF(#REF!,#REF!,"ym") &amp; " meses " &amp; DATEDIF(#REF!,#REF!,"md") &amp; " días"</f>
        <v>#REF!</v>
      </c>
      <c r="I99" s="20" t="e">
        <f>DATEDIF(#REF!,#REF!,"y") &amp; " años " &amp; DATEDIF(#REF!,#REF!,"ym") &amp; " meses " &amp; DATEDIF(#REF!,#REF!,"md") &amp; " días"</f>
        <v>#REF!</v>
      </c>
      <c r="J99" s="172"/>
      <c r="K99" s="179"/>
      <c r="L99" s="173"/>
      <c r="M99" s="69">
        <f>25039.84</f>
        <v>25039.84</v>
      </c>
      <c r="N99" s="26" t="s">
        <v>336</v>
      </c>
    </row>
    <row r="100" spans="1:14" s="7" customFormat="1" ht="45" customHeight="1" x14ac:dyDescent="0.25">
      <c r="A100" s="20">
        <v>81</v>
      </c>
      <c r="B100" s="20"/>
      <c r="C100" s="66" t="s">
        <v>122</v>
      </c>
      <c r="D100" s="66" t="s">
        <v>505</v>
      </c>
      <c r="E100" s="67" t="s">
        <v>506</v>
      </c>
      <c r="F100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00" s="68">
        <v>1</v>
      </c>
      <c r="H100" s="20" t="e">
        <f>DATEDIF(#REF!,#REF!,"y") &amp; " años " &amp; DATEDIF(#REF!,#REF!,"ym") &amp; " meses " &amp; DATEDIF(#REF!,#REF!,"md") &amp; " días"</f>
        <v>#REF!</v>
      </c>
      <c r="I100" s="20" t="e">
        <f>DATEDIF(#REF!,#REF!,"y") &amp; " años " &amp; DATEDIF(#REF!,#REF!,"ym") &amp; " meses " &amp; DATEDIF(#REF!,#REF!,"md") &amp; " días"</f>
        <v>#REF!</v>
      </c>
      <c r="J100" s="172" t="s">
        <v>13</v>
      </c>
      <c r="K100" s="179"/>
      <c r="L100" s="173"/>
      <c r="M100" s="69">
        <v>25039.85</v>
      </c>
      <c r="N100" s="26" t="s">
        <v>337</v>
      </c>
    </row>
    <row r="101" spans="1:14" s="7" customFormat="1" ht="45" customHeight="1" x14ac:dyDescent="0.25">
      <c r="A101" s="20">
        <v>82</v>
      </c>
      <c r="B101" s="20"/>
      <c r="C101" s="66" t="s">
        <v>122</v>
      </c>
      <c r="D101" s="66" t="s">
        <v>507</v>
      </c>
      <c r="E101" s="67" t="s">
        <v>508</v>
      </c>
      <c r="F101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01" s="68">
        <v>1</v>
      </c>
      <c r="H101" s="20" t="e">
        <f>DATEDIF(#REF!,#REF!,"y") &amp; " años " &amp; DATEDIF(#REF!,#REF!,"ym") &amp; " meses " &amp; DATEDIF(#REF!,#REF!,"md") &amp; " días"</f>
        <v>#REF!</v>
      </c>
      <c r="I101" s="20" t="e">
        <f>DATEDIF(#REF!,#REF!,"y") &amp; " años " &amp; DATEDIF(#REF!,#REF!,"ym") &amp; " meses " &amp; DATEDIF(#REF!,#REF!,"md") &amp; " días"</f>
        <v>#REF!</v>
      </c>
      <c r="J101" s="172"/>
      <c r="K101" s="179"/>
      <c r="L101" s="173"/>
      <c r="M101" s="69">
        <f>25039.85</f>
        <v>25039.85</v>
      </c>
      <c r="N101" s="26" t="s">
        <v>337</v>
      </c>
    </row>
    <row r="102" spans="1:14" s="7" customFormat="1" ht="45" customHeight="1" x14ac:dyDescent="0.25">
      <c r="A102" s="20">
        <v>83</v>
      </c>
      <c r="B102" s="20"/>
      <c r="C102" s="66" t="s">
        <v>130</v>
      </c>
      <c r="D102" s="66" t="s">
        <v>509</v>
      </c>
      <c r="E102" s="67" t="s">
        <v>510</v>
      </c>
      <c r="F102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02" s="68">
        <v>0.625</v>
      </c>
      <c r="H102" s="20" t="e">
        <f>DATEDIF(#REF!,#REF!,"y") &amp; " años " &amp; DATEDIF(#REF!,#REF!,"ym") &amp; " meses " &amp; DATEDIF(#REF!,#REF!,"md") &amp; " días"</f>
        <v>#REF!</v>
      </c>
      <c r="I102" s="20" t="e">
        <f>DATEDIF(#REF!,#REF!,"y") &amp; " años " &amp; DATEDIF(#REF!,#REF!,"ym") &amp; " meses " &amp; DATEDIF(#REF!,#REF!,"md") &amp; " días"</f>
        <v>#REF!</v>
      </c>
      <c r="J102" s="172"/>
      <c r="K102" s="179"/>
      <c r="L102" s="173"/>
      <c r="M102" s="69">
        <v>23826.29</v>
      </c>
      <c r="N102" s="26" t="s">
        <v>338</v>
      </c>
    </row>
    <row r="103" spans="1:14" s="7" customFormat="1" ht="45" customHeight="1" x14ac:dyDescent="0.25">
      <c r="A103" s="20">
        <v>84</v>
      </c>
      <c r="B103" s="20"/>
      <c r="C103" s="66" t="s">
        <v>130</v>
      </c>
      <c r="D103" s="66" t="s">
        <v>511</v>
      </c>
      <c r="E103" s="67" t="s">
        <v>512</v>
      </c>
      <c r="F103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03" s="68">
        <v>0.72499999999999998</v>
      </c>
      <c r="H103" s="20" t="e">
        <f>DATEDIF(#REF!,#REF!,"y") &amp; " años " &amp; DATEDIF(#REF!,#REF!,"ym") &amp; " meses " &amp; DATEDIF(#REF!,#REF!,"md") &amp; " días"</f>
        <v>#REF!</v>
      </c>
      <c r="I103" s="20" t="e">
        <f>DATEDIF(#REF!,#REF!,"y") &amp; " años " &amp; DATEDIF(#REF!,#REF!,"ym") &amp; " meses " &amp; DATEDIF(#REF!,#REF!,"md") &amp; " días"</f>
        <v>#REF!</v>
      </c>
      <c r="J103" s="172"/>
      <c r="K103" s="179"/>
      <c r="L103" s="173"/>
      <c r="M103" s="69">
        <v>25039.85</v>
      </c>
      <c r="N103" s="26" t="s">
        <v>338</v>
      </c>
    </row>
    <row r="104" spans="1:14" s="7" customFormat="1" ht="45" customHeight="1" x14ac:dyDescent="0.25">
      <c r="A104" s="20">
        <v>85</v>
      </c>
      <c r="B104" s="20"/>
      <c r="C104" s="66" t="s">
        <v>130</v>
      </c>
      <c r="D104" s="66" t="s">
        <v>513</v>
      </c>
      <c r="E104" s="67" t="s">
        <v>514</v>
      </c>
      <c r="F104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04" s="68">
        <v>0.6</v>
      </c>
      <c r="H104" s="20" t="e">
        <f>DATEDIF(#REF!,#REF!,"y") &amp; " años " &amp; DATEDIF(#REF!,#REF!,"ym") &amp; " meses " &amp; DATEDIF(#REF!,#REF!,"md") &amp; " días"</f>
        <v>#REF!</v>
      </c>
      <c r="I104" s="20" t="e">
        <f>DATEDIF(#REF!,#REF!,"y") &amp; " años " &amp; DATEDIF(#REF!,#REF!,"ym") &amp; " meses " &amp; DATEDIF(#REF!,#REF!,"md") &amp; " días"</f>
        <v>#REF!</v>
      </c>
      <c r="J104" s="172"/>
      <c r="K104" s="179"/>
      <c r="L104" s="173"/>
      <c r="M104" s="69">
        <v>23826.3</v>
      </c>
      <c r="N104" s="26" t="s">
        <v>338</v>
      </c>
    </row>
    <row r="105" spans="1:14" s="7" customFormat="1" ht="45" customHeight="1" x14ac:dyDescent="0.2">
      <c r="A105" s="20">
        <v>86</v>
      </c>
      <c r="B105" s="65"/>
      <c r="C105" s="66" t="s">
        <v>145</v>
      </c>
      <c r="D105" s="66" t="s">
        <v>515</v>
      </c>
      <c r="E105" s="67" t="s">
        <v>516</v>
      </c>
      <c r="F105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05" s="68">
        <v>1</v>
      </c>
      <c r="H105" s="20" t="e">
        <f>DATEDIF(#REF!,#REF!,"y") &amp; " años " &amp; DATEDIF(#REF!,#REF!,"ym") &amp; " meses " &amp; DATEDIF(#REF!,#REF!,"md") &amp; " días"</f>
        <v>#REF!</v>
      </c>
      <c r="I105" s="20" t="e">
        <f>DATEDIF(#REF!,#REF!,"y") &amp; " años " &amp; DATEDIF(#REF!,#REF!,"ym") &amp; " meses " &amp; DATEDIF(#REF!,#REF!,"md") &amp; " días"</f>
        <v>#REF!</v>
      </c>
      <c r="J105" s="172"/>
      <c r="K105" s="179"/>
      <c r="L105" s="173"/>
      <c r="M105" s="69">
        <f>23826.3</f>
        <v>23826.3</v>
      </c>
      <c r="N105" s="26" t="s">
        <v>336</v>
      </c>
    </row>
    <row r="106" spans="1:14" s="7" customFormat="1" ht="45" customHeight="1" x14ac:dyDescent="0.2">
      <c r="A106" s="20">
        <v>87</v>
      </c>
      <c r="B106" s="65"/>
      <c r="C106" s="66" t="s">
        <v>145</v>
      </c>
      <c r="D106" s="66" t="s">
        <v>517</v>
      </c>
      <c r="E106" s="67" t="s">
        <v>518</v>
      </c>
      <c r="F106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06" s="68">
        <v>0.88</v>
      </c>
      <c r="H106" s="20" t="e">
        <f>DATEDIF(#REF!,#REF!,"y") &amp; " años " &amp; DATEDIF(#REF!,#REF!,"ym") &amp; " meses " &amp; DATEDIF(#REF!,#REF!,"md") &amp; " días"</f>
        <v>#REF!</v>
      </c>
      <c r="I106" s="20" t="e">
        <f>DATEDIF(#REF!,#REF!,"y") &amp; " años " &amp; DATEDIF(#REF!,#REF!,"ym") &amp; " meses " &amp; DATEDIF(#REF!,#REF!,"md") &amp; " días"</f>
        <v>#REF!</v>
      </c>
      <c r="J106" s="172" t="s">
        <v>13</v>
      </c>
      <c r="K106" s="179"/>
      <c r="L106" s="173"/>
      <c r="M106" s="69">
        <f>23826.3</f>
        <v>23826.3</v>
      </c>
      <c r="N106" s="26" t="s">
        <v>336</v>
      </c>
    </row>
    <row r="107" spans="1:14" s="7" customFormat="1" ht="45" customHeight="1" x14ac:dyDescent="0.25">
      <c r="A107" s="20">
        <v>88</v>
      </c>
      <c r="B107" s="20"/>
      <c r="C107" s="66" t="s">
        <v>145</v>
      </c>
      <c r="D107" s="66" t="s">
        <v>519</v>
      </c>
      <c r="E107" s="67" t="s">
        <v>520</v>
      </c>
      <c r="F107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07" s="68">
        <v>1</v>
      </c>
      <c r="H107" s="20" t="e">
        <f>DATEDIF(#REF!,#REF!,"y") &amp; " años " &amp; DATEDIF(#REF!,#REF!,"ym") &amp; " meses " &amp; DATEDIF(#REF!,#REF!,"md") &amp; " días"</f>
        <v>#REF!</v>
      </c>
      <c r="I107" s="20" t="e">
        <f>DATEDIF(#REF!,#REF!,"y") &amp; " años " &amp; DATEDIF(#REF!,#REF!,"ym") &amp; " meses " &amp; DATEDIF(#REF!,#REF!,"md") &amp; " días"</f>
        <v>#REF!</v>
      </c>
      <c r="J107" s="172"/>
      <c r="K107" s="179"/>
      <c r="L107" s="173"/>
      <c r="M107" s="69">
        <v>23826.3</v>
      </c>
      <c r="N107" s="26" t="s">
        <v>337</v>
      </c>
    </row>
    <row r="108" spans="1:14" s="7" customFormat="1" ht="45" customHeight="1" x14ac:dyDescent="0.25">
      <c r="A108" s="20">
        <v>89</v>
      </c>
      <c r="B108" s="20"/>
      <c r="C108" s="66" t="s">
        <v>149</v>
      </c>
      <c r="D108" s="66" t="s">
        <v>521</v>
      </c>
      <c r="E108" s="67" t="s">
        <v>522</v>
      </c>
      <c r="F108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08" s="68">
        <v>0.67500000000000004</v>
      </c>
      <c r="H108" s="20" t="e">
        <f>DATEDIF(#REF!,#REF!,"y") &amp; " años " &amp; DATEDIF(#REF!,#REF!,"ym") &amp; " meses " &amp; DATEDIF(#REF!,#REF!,"md") &amp; " días"</f>
        <v>#REF!</v>
      </c>
      <c r="I108" s="20" t="e">
        <f>DATEDIF(#REF!,#REF!,"y") &amp; " años " &amp; DATEDIF(#REF!,#REF!,"ym") &amp; " meses " &amp; DATEDIF(#REF!,#REF!,"md") &amp; " días"</f>
        <v>#REF!</v>
      </c>
      <c r="J108" s="172"/>
      <c r="K108" s="179"/>
      <c r="L108" s="173"/>
      <c r="M108" s="69">
        <v>23826.3</v>
      </c>
      <c r="N108" s="26" t="s">
        <v>339</v>
      </c>
    </row>
    <row r="109" spans="1:14" s="7" customFormat="1" ht="45" customHeight="1" x14ac:dyDescent="0.25">
      <c r="A109" s="20">
        <v>90</v>
      </c>
      <c r="B109" s="20"/>
      <c r="C109" s="66" t="s">
        <v>149</v>
      </c>
      <c r="D109" s="66" t="s">
        <v>523</v>
      </c>
      <c r="E109" s="67" t="s">
        <v>524</v>
      </c>
      <c r="F109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09" s="68">
        <v>0.65</v>
      </c>
      <c r="H109" s="20" t="e">
        <f>DATEDIF(#REF!,#REF!,"y") &amp; " años " &amp; DATEDIF(#REF!,#REF!,"ym") &amp; " meses " &amp; DATEDIF(#REF!,#REF!,"md") &amp; " días"</f>
        <v>#REF!</v>
      </c>
      <c r="I109" s="20" t="e">
        <f>DATEDIF(#REF!,#REF!,"y") &amp; " años " &amp; DATEDIF(#REF!,#REF!,"ym") &amp; " meses " &amp; DATEDIF(#REF!,#REF!,"md") &amp; " días"</f>
        <v>#REF!</v>
      </c>
      <c r="J109" s="172"/>
      <c r="K109" s="179"/>
      <c r="L109" s="173"/>
      <c r="M109" s="69">
        <v>23826.29</v>
      </c>
      <c r="N109" s="26" t="s">
        <v>339</v>
      </c>
    </row>
    <row r="110" spans="1:14" s="7" customFormat="1" ht="45" customHeight="1" x14ac:dyDescent="0.25">
      <c r="A110" s="20">
        <v>91</v>
      </c>
      <c r="B110" s="20"/>
      <c r="C110" s="66" t="s">
        <v>149</v>
      </c>
      <c r="D110" s="66" t="s">
        <v>525</v>
      </c>
      <c r="E110" s="67" t="s">
        <v>526</v>
      </c>
      <c r="F110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10" s="68">
        <v>0.6</v>
      </c>
      <c r="H110" s="20" t="e">
        <f>DATEDIF(#REF!,#REF!,"y") &amp; " años " &amp; DATEDIF(#REF!,#REF!,"ym") &amp; " meses " &amp; DATEDIF(#REF!,#REF!,"md") &amp; " días"</f>
        <v>#REF!</v>
      </c>
      <c r="I110" s="20" t="e">
        <f>DATEDIF(#REF!,#REF!,"y") &amp; " años " &amp; DATEDIF(#REF!,#REF!,"ym") &amp; " meses " &amp; DATEDIF(#REF!,#REF!,"md") &amp; " días"</f>
        <v>#REF!</v>
      </c>
      <c r="J110" s="172"/>
      <c r="K110" s="179"/>
      <c r="L110" s="173"/>
      <c r="M110" s="69">
        <v>22588.39</v>
      </c>
      <c r="N110" s="26" t="s">
        <v>339</v>
      </c>
    </row>
    <row r="111" spans="1:14" s="7" customFormat="1" ht="45" customHeight="1" x14ac:dyDescent="0.25">
      <c r="A111" s="20">
        <v>92</v>
      </c>
      <c r="B111" s="20"/>
      <c r="C111" s="66" t="s">
        <v>149</v>
      </c>
      <c r="D111" s="66" t="s">
        <v>527</v>
      </c>
      <c r="E111" s="67" t="s">
        <v>528</v>
      </c>
      <c r="F111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11" s="68">
        <v>0.65</v>
      </c>
      <c r="H111" s="20" t="e">
        <f>DATEDIF(#REF!,#REF!,"y") &amp; " años " &amp; DATEDIF(#REF!,#REF!,"ym") &amp; " meses " &amp; DATEDIF(#REF!,#REF!,"md") &amp; " días"</f>
        <v>#REF!</v>
      </c>
      <c r="I111" s="20" t="e">
        <f>DATEDIF(#REF!,#REF!,"y") &amp; " años " &amp; DATEDIF(#REF!,#REF!,"ym") &amp; " meses " &amp; DATEDIF(#REF!,#REF!,"md") &amp; " días"</f>
        <v>#REF!</v>
      </c>
      <c r="J111" s="172"/>
      <c r="K111" s="179"/>
      <c r="L111" s="173"/>
      <c r="M111" s="69">
        <v>23826.29</v>
      </c>
      <c r="N111" s="26" t="s">
        <v>339</v>
      </c>
    </row>
    <row r="112" spans="1:14" s="7" customFormat="1" ht="45" customHeight="1" x14ac:dyDescent="0.25">
      <c r="A112" s="20">
        <v>93</v>
      </c>
      <c r="B112" s="20"/>
      <c r="C112" s="66" t="s">
        <v>149</v>
      </c>
      <c r="D112" s="66" t="s">
        <v>529</v>
      </c>
      <c r="E112" s="67" t="s">
        <v>530</v>
      </c>
      <c r="F112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12" s="68">
        <v>0.72499999999999998</v>
      </c>
      <c r="H112" s="20" t="e">
        <f>DATEDIF(#REF!,#REF!,"y") &amp; " años " &amp; DATEDIF(#REF!,#REF!,"ym") &amp; " meses " &amp; DATEDIF(#REF!,#REF!,"md") &amp; " días"</f>
        <v>#REF!</v>
      </c>
      <c r="I112" s="20" t="e">
        <f>DATEDIF(#REF!,#REF!,"y") &amp; " años " &amp; DATEDIF(#REF!,#REF!,"ym") &amp; " meses " &amp; DATEDIF(#REF!,#REF!,"md") &amp; " días"</f>
        <v>#REF!</v>
      </c>
      <c r="J112" s="172"/>
      <c r="K112" s="179"/>
      <c r="L112" s="173"/>
      <c r="M112" s="69">
        <v>23826.3</v>
      </c>
      <c r="N112" s="26" t="s">
        <v>339</v>
      </c>
    </row>
    <row r="113" spans="1:14" s="7" customFormat="1" ht="45" customHeight="1" x14ac:dyDescent="0.25">
      <c r="A113" s="20">
        <v>94</v>
      </c>
      <c r="B113" s="20"/>
      <c r="C113" s="66" t="s">
        <v>149</v>
      </c>
      <c r="D113" s="66" t="s">
        <v>531</v>
      </c>
      <c r="E113" s="67" t="s">
        <v>532</v>
      </c>
      <c r="F113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13" s="68">
        <v>0.65</v>
      </c>
      <c r="H113" s="20" t="e">
        <f>DATEDIF(#REF!,#REF!,"y") &amp; " años " &amp; DATEDIF(#REF!,#REF!,"ym") &amp; " meses " &amp; DATEDIF(#REF!,#REF!,"md") &amp; " días"</f>
        <v>#REF!</v>
      </c>
      <c r="I113" s="20" t="e">
        <f>DATEDIF(#REF!,#REF!,"y") &amp; " años " &amp; DATEDIF(#REF!,#REF!,"ym") &amp; " meses " &amp; DATEDIF(#REF!,#REF!,"md") &amp; " días"</f>
        <v>#REF!</v>
      </c>
      <c r="J113" s="172"/>
      <c r="K113" s="179"/>
      <c r="L113" s="173"/>
      <c r="M113" s="69">
        <v>23826.3</v>
      </c>
      <c r="N113" s="26" t="s">
        <v>339</v>
      </c>
    </row>
    <row r="114" spans="1:14" s="7" customFormat="1" ht="45" customHeight="1" x14ac:dyDescent="0.25">
      <c r="A114" s="20">
        <v>95</v>
      </c>
      <c r="B114" s="67"/>
      <c r="C114" s="66" t="s">
        <v>149</v>
      </c>
      <c r="D114" s="66" t="s">
        <v>533</v>
      </c>
      <c r="E114" s="67" t="s">
        <v>534</v>
      </c>
      <c r="F114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14" s="68">
        <v>0.6</v>
      </c>
      <c r="H114" s="20" t="e">
        <f>DATEDIF(#REF!,#REF!,"y") &amp; " años " &amp; DATEDIF(#REF!,#REF!,"ym") &amp; " meses " &amp; DATEDIF(#REF!,#REF!,"md") &amp; " días"</f>
        <v>#REF!</v>
      </c>
      <c r="I114" s="20" t="e">
        <f>DATEDIF(#REF!,#REF!,"y") &amp; " años " &amp; DATEDIF(#REF!,#REF!,"ym") &amp; " meses " &amp; DATEDIF(#REF!,#REF!,"md") &amp; " días"</f>
        <v>#REF!</v>
      </c>
      <c r="J114" s="172"/>
      <c r="K114" s="179"/>
      <c r="L114" s="173"/>
      <c r="M114" s="69">
        <v>23826.3</v>
      </c>
      <c r="N114" s="26" t="s">
        <v>339</v>
      </c>
    </row>
    <row r="115" spans="1:14" s="7" customFormat="1" ht="45" customHeight="1" x14ac:dyDescent="0.25">
      <c r="A115" s="20">
        <v>96</v>
      </c>
      <c r="B115" s="67"/>
      <c r="C115" s="66" t="s">
        <v>149</v>
      </c>
      <c r="D115" s="66" t="s">
        <v>535</v>
      </c>
      <c r="E115" s="67" t="s">
        <v>536</v>
      </c>
      <c r="F115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15" s="68">
        <v>0.6</v>
      </c>
      <c r="H115" s="20" t="e">
        <f>DATEDIF(#REF!,#REF!,"y") &amp; " años " &amp; DATEDIF(#REF!,#REF!,"ym") &amp; " meses " &amp; DATEDIF(#REF!,#REF!,"md") &amp; " días"</f>
        <v>#REF!</v>
      </c>
      <c r="I115" s="20" t="e">
        <f>DATEDIF(#REF!,#REF!,"y") &amp; " años " &amp; DATEDIF(#REF!,#REF!,"ym") &amp; " meses " &amp; DATEDIF(#REF!,#REF!,"md") &amp; " días"</f>
        <v>#REF!</v>
      </c>
      <c r="J115" s="172"/>
      <c r="K115" s="179"/>
      <c r="L115" s="173"/>
      <c r="M115" s="69">
        <v>22588.39</v>
      </c>
      <c r="N115" s="26" t="s">
        <v>339</v>
      </c>
    </row>
    <row r="116" spans="1:14" s="7" customFormat="1" ht="45" customHeight="1" x14ac:dyDescent="0.25">
      <c r="A116" s="20">
        <v>97</v>
      </c>
      <c r="B116" s="67"/>
      <c r="C116" s="66" t="s">
        <v>149</v>
      </c>
      <c r="D116" s="66" t="s">
        <v>537</v>
      </c>
      <c r="E116" s="67" t="s">
        <v>538</v>
      </c>
      <c r="F116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16" s="68">
        <v>0.6</v>
      </c>
      <c r="H116" s="20" t="e">
        <f>DATEDIF(#REF!,#REF!,"y") &amp; " años " &amp; DATEDIF(#REF!,#REF!,"ym") &amp; " meses " &amp; DATEDIF(#REF!,#REF!,"md") &amp; " días"</f>
        <v>#REF!</v>
      </c>
      <c r="I116" s="20" t="e">
        <f>DATEDIF(#REF!,#REF!,"y") &amp; " años " &amp; DATEDIF(#REF!,#REF!,"ym") &amp; " meses " &amp; DATEDIF(#REF!,#REF!,"md") &amp; " días"</f>
        <v>#REF!</v>
      </c>
      <c r="J116" s="172"/>
      <c r="K116" s="179"/>
      <c r="L116" s="173"/>
      <c r="M116" s="69">
        <v>23826.3</v>
      </c>
      <c r="N116" s="26" t="s">
        <v>339</v>
      </c>
    </row>
    <row r="117" spans="1:14" s="7" customFormat="1" ht="45" customHeight="1" x14ac:dyDescent="0.25">
      <c r="A117" s="20">
        <v>98</v>
      </c>
      <c r="B117" s="67"/>
      <c r="C117" s="66" t="s">
        <v>149</v>
      </c>
      <c r="D117" s="66" t="s">
        <v>539</v>
      </c>
      <c r="E117" s="67" t="s">
        <v>540</v>
      </c>
      <c r="F117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17" s="68">
        <v>0.625</v>
      </c>
      <c r="H117" s="20" t="e">
        <f>DATEDIF(#REF!,#REF!,"y") &amp; " años " &amp; DATEDIF(#REF!,#REF!,"ym") &amp; " meses " &amp; DATEDIF(#REF!,#REF!,"md") &amp; " días"</f>
        <v>#REF!</v>
      </c>
      <c r="I117" s="20" t="e">
        <f>DATEDIF(#REF!,#REF!,"y") &amp; " años " &amp; DATEDIF(#REF!,#REF!,"ym") &amp; " meses " &amp; DATEDIF(#REF!,#REF!,"md") &amp; " días"</f>
        <v>#REF!</v>
      </c>
      <c r="J117" s="172" t="s">
        <v>541</v>
      </c>
      <c r="K117" s="179"/>
      <c r="L117" s="173"/>
      <c r="M117" s="69">
        <v>23826.3</v>
      </c>
      <c r="N117" s="26" t="s">
        <v>339</v>
      </c>
    </row>
    <row r="118" spans="1:14" s="7" customFormat="1" ht="45" customHeight="1" x14ac:dyDescent="0.25">
      <c r="A118" s="20">
        <v>99</v>
      </c>
      <c r="B118" s="67"/>
      <c r="C118" s="66" t="s">
        <v>149</v>
      </c>
      <c r="D118" s="66" t="s">
        <v>542</v>
      </c>
      <c r="E118" s="67" t="s">
        <v>543</v>
      </c>
      <c r="F118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18" s="68">
        <v>0.7</v>
      </c>
      <c r="H118" s="20" t="e">
        <f>DATEDIF(#REF!,#REF!,"y") &amp; " años " &amp; DATEDIF(#REF!,#REF!,"ym") &amp; " meses " &amp; DATEDIF(#REF!,#REF!,"md") &amp; " días"</f>
        <v>#REF!</v>
      </c>
      <c r="I118" s="20" t="e">
        <f>DATEDIF(#REF!,#REF!,"y") &amp; " años " &amp; DATEDIF(#REF!,#REF!,"ym") &amp; " meses " &amp; DATEDIF(#REF!,#REF!,"md") &amp; " días"</f>
        <v>#REF!</v>
      </c>
      <c r="J118" s="172"/>
      <c r="K118" s="179"/>
      <c r="L118" s="173"/>
      <c r="M118" s="69">
        <v>23826.3</v>
      </c>
      <c r="N118" s="26" t="s">
        <v>339</v>
      </c>
    </row>
    <row r="119" spans="1:14" s="7" customFormat="1" ht="45" customHeight="1" x14ac:dyDescent="0.25">
      <c r="A119" s="20">
        <v>100</v>
      </c>
      <c r="B119" s="67"/>
      <c r="C119" s="66" t="s">
        <v>149</v>
      </c>
      <c r="D119" s="66" t="s">
        <v>544</v>
      </c>
      <c r="E119" s="67" t="s">
        <v>545</v>
      </c>
      <c r="F119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19" s="68">
        <v>0.6</v>
      </c>
      <c r="H119" s="20" t="e">
        <f>DATEDIF(#REF!,#REF!,"y") &amp; " años " &amp; DATEDIF(#REF!,#REF!,"ym") &amp; " meses " &amp; DATEDIF(#REF!,#REF!,"md") &amp; " días"</f>
        <v>#REF!</v>
      </c>
      <c r="I119" s="20" t="e">
        <f>DATEDIF(#REF!,#REF!,"y") &amp; " años " &amp; DATEDIF(#REF!,#REF!,"ym") &amp; " meses " &amp; DATEDIF(#REF!,#REF!,"md") &amp; " días"</f>
        <v>#REF!</v>
      </c>
      <c r="J119" s="172"/>
      <c r="K119" s="179"/>
      <c r="L119" s="173"/>
      <c r="M119" s="69">
        <v>23826.3</v>
      </c>
      <c r="N119" s="26" t="s">
        <v>339</v>
      </c>
    </row>
    <row r="120" spans="1:14" s="7" customFormat="1" ht="45" customHeight="1" x14ac:dyDescent="0.25">
      <c r="A120" s="20">
        <v>101</v>
      </c>
      <c r="B120" s="67"/>
      <c r="C120" s="66" t="s">
        <v>149</v>
      </c>
      <c r="D120" s="66" t="s">
        <v>546</v>
      </c>
      <c r="E120" s="67" t="s">
        <v>547</v>
      </c>
      <c r="F120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20" s="68">
        <v>0.6</v>
      </c>
      <c r="H120" s="20" t="e">
        <f>DATEDIF(#REF!,#REF!,"y") &amp; " años " &amp; DATEDIF(#REF!,#REF!,"ym") &amp; " meses " &amp; DATEDIF(#REF!,#REF!,"md") &amp; " días"</f>
        <v>#REF!</v>
      </c>
      <c r="I120" s="20" t="e">
        <f>DATEDIF(#REF!,#REF!,"y") &amp; " años " &amp; DATEDIF(#REF!,#REF!,"ym") &amp; " meses " &amp; DATEDIF(#REF!,#REF!,"md") &amp; " días"</f>
        <v>#REF!</v>
      </c>
      <c r="J120" s="172"/>
      <c r="K120" s="179"/>
      <c r="L120" s="173"/>
      <c r="M120" s="69">
        <v>23826.3</v>
      </c>
      <c r="N120" s="26" t="s">
        <v>339</v>
      </c>
    </row>
    <row r="121" spans="1:14" s="7" customFormat="1" ht="45" customHeight="1" x14ac:dyDescent="0.25">
      <c r="A121" s="20">
        <v>102</v>
      </c>
      <c r="B121" s="67"/>
      <c r="C121" s="66" t="s">
        <v>149</v>
      </c>
      <c r="D121" s="66" t="s">
        <v>548</v>
      </c>
      <c r="E121" s="67" t="s">
        <v>549</v>
      </c>
      <c r="F121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21" s="68">
        <v>0.77500000000000002</v>
      </c>
      <c r="H121" s="20" t="e">
        <f>DATEDIF(#REF!,#REF!,"y") &amp; " años " &amp; DATEDIF(#REF!,#REF!,"ym") &amp; " meses " &amp; DATEDIF(#REF!,#REF!,"md") &amp; " días"</f>
        <v>#REF!</v>
      </c>
      <c r="I121" s="20" t="e">
        <f>DATEDIF(#REF!,#REF!,"y") &amp; " años " &amp; DATEDIF(#REF!,#REF!,"ym") &amp; " meses " &amp; DATEDIF(#REF!,#REF!,"md") &amp; " días"</f>
        <v>#REF!</v>
      </c>
      <c r="J121" s="172"/>
      <c r="K121" s="179"/>
      <c r="L121" s="173"/>
      <c r="M121" s="69">
        <v>23826.3</v>
      </c>
      <c r="N121" s="26" t="s">
        <v>339</v>
      </c>
    </row>
    <row r="122" spans="1:14" s="7" customFormat="1" ht="45" customHeight="1" x14ac:dyDescent="0.25">
      <c r="A122" s="20">
        <v>103</v>
      </c>
      <c r="B122" s="67"/>
      <c r="C122" s="66" t="s">
        <v>149</v>
      </c>
      <c r="D122" s="66" t="s">
        <v>550</v>
      </c>
      <c r="E122" s="67" t="s">
        <v>551</v>
      </c>
      <c r="F122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22" s="68">
        <v>0.6</v>
      </c>
      <c r="H122" s="20" t="e">
        <f>DATEDIF(#REF!,#REF!,"y") &amp; " años " &amp; DATEDIF(#REF!,#REF!,"ym") &amp; " meses " &amp; DATEDIF(#REF!,#REF!,"md") &amp; " días"</f>
        <v>#REF!</v>
      </c>
      <c r="I122" s="20" t="e">
        <f>DATEDIF(#REF!,#REF!,"y") &amp; " años " &amp; DATEDIF(#REF!,#REF!,"ym") &amp; " meses " &amp; DATEDIF(#REF!,#REF!,"md") &amp; " días"</f>
        <v>#REF!</v>
      </c>
      <c r="J122" s="172"/>
      <c r="K122" s="179"/>
      <c r="L122" s="173"/>
      <c r="M122" s="69">
        <v>23826.3</v>
      </c>
      <c r="N122" s="26" t="s">
        <v>339</v>
      </c>
    </row>
    <row r="123" spans="1:14" s="7" customFormat="1" ht="45" customHeight="1" x14ac:dyDescent="0.25">
      <c r="A123" s="20">
        <v>104</v>
      </c>
      <c r="B123" s="67"/>
      <c r="C123" s="66" t="s">
        <v>149</v>
      </c>
      <c r="D123" s="66" t="s">
        <v>552</v>
      </c>
      <c r="E123" s="67" t="s">
        <v>553</v>
      </c>
      <c r="F123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23" s="68">
        <v>0.6</v>
      </c>
      <c r="H123" s="20" t="e">
        <f>DATEDIF(#REF!,#REF!,"y") &amp; " años " &amp; DATEDIF(#REF!,#REF!,"ym") &amp; " meses " &amp; DATEDIF(#REF!,#REF!,"md") &amp; " días"</f>
        <v>#REF!</v>
      </c>
      <c r="I123" s="20" t="e">
        <f>DATEDIF(#REF!,#REF!,"y") &amp; " años " &amp; DATEDIF(#REF!,#REF!,"ym") &amp; " meses " &amp; DATEDIF(#REF!,#REF!,"md") &amp; " días"</f>
        <v>#REF!</v>
      </c>
      <c r="J123" s="172"/>
      <c r="K123" s="179"/>
      <c r="L123" s="173"/>
      <c r="M123" s="69">
        <f>23826.3+8000</f>
        <v>31826.3</v>
      </c>
      <c r="N123" s="26" t="s">
        <v>339</v>
      </c>
    </row>
    <row r="124" spans="1:14" s="7" customFormat="1" ht="45" customHeight="1" x14ac:dyDescent="0.25">
      <c r="A124" s="20">
        <v>105</v>
      </c>
      <c r="B124" s="67"/>
      <c r="C124" s="66" t="s">
        <v>149</v>
      </c>
      <c r="D124" s="66" t="s">
        <v>554</v>
      </c>
      <c r="E124" s="67" t="s">
        <v>555</v>
      </c>
      <c r="F124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24" s="68">
        <v>0.6</v>
      </c>
      <c r="H124" s="20" t="e">
        <f>DATEDIF(#REF!,#REF!,"y") &amp; " años " &amp; DATEDIF(#REF!,#REF!,"ym") &amp; " meses " &amp; DATEDIF(#REF!,#REF!,"md") &amp; " días"</f>
        <v>#REF!</v>
      </c>
      <c r="I124" s="20" t="e">
        <f>DATEDIF(#REF!,#REF!,"y") &amp; " años " &amp; DATEDIF(#REF!,#REF!,"ym") &amp; " meses " &amp; DATEDIF(#REF!,#REF!,"md") &amp; " días"</f>
        <v>#REF!</v>
      </c>
      <c r="J124" s="172"/>
      <c r="K124" s="179"/>
      <c r="L124" s="173"/>
      <c r="M124" s="69">
        <v>22588.39</v>
      </c>
      <c r="N124" s="26" t="s">
        <v>339</v>
      </c>
    </row>
    <row r="125" spans="1:14" s="7" customFormat="1" ht="45" customHeight="1" x14ac:dyDescent="0.25">
      <c r="A125" s="20">
        <v>106</v>
      </c>
      <c r="B125" s="67"/>
      <c r="C125" s="66" t="s">
        <v>149</v>
      </c>
      <c r="D125" s="66" t="s">
        <v>556</v>
      </c>
      <c r="E125" s="67" t="s">
        <v>557</v>
      </c>
      <c r="F125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25" s="68">
        <v>0.6</v>
      </c>
      <c r="H125" s="20" t="e">
        <f>DATEDIF(#REF!,#REF!,"y") &amp; " años " &amp; DATEDIF(#REF!,#REF!,"ym") &amp; " meses " &amp; DATEDIF(#REF!,#REF!,"md") &amp; " días"</f>
        <v>#REF!</v>
      </c>
      <c r="I125" s="20" t="e">
        <f>DATEDIF(#REF!,#REF!,"y") &amp; " años " &amp; DATEDIF(#REF!,#REF!,"ym") &amp; " meses " &amp; DATEDIF(#REF!,#REF!,"md") &amp; " días"</f>
        <v>#REF!</v>
      </c>
      <c r="J125" s="172"/>
      <c r="K125" s="179"/>
      <c r="L125" s="173"/>
      <c r="M125" s="69">
        <f>22588.39+4400</f>
        <v>26988.39</v>
      </c>
      <c r="N125" s="26" t="s">
        <v>339</v>
      </c>
    </row>
    <row r="126" spans="1:14" s="7" customFormat="1" ht="45" customHeight="1" x14ac:dyDescent="0.25">
      <c r="A126" s="20">
        <v>107</v>
      </c>
      <c r="B126" s="67"/>
      <c r="C126" s="66" t="s">
        <v>149</v>
      </c>
      <c r="D126" s="66" t="s">
        <v>558</v>
      </c>
      <c r="E126" s="67" t="s">
        <v>559</v>
      </c>
      <c r="F126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26" s="68">
        <v>0.6</v>
      </c>
      <c r="H126" s="20" t="e">
        <f>DATEDIF(#REF!,#REF!,"y") &amp; " años " &amp; DATEDIF(#REF!,#REF!,"ym") &amp; " meses " &amp; DATEDIF(#REF!,#REF!,"md") &amp; " días"</f>
        <v>#REF!</v>
      </c>
      <c r="I126" s="20" t="e">
        <f>DATEDIF(#REF!,#REF!,"y") &amp; " años " &amp; DATEDIF(#REF!,#REF!,"ym") &amp; " meses " &amp; DATEDIF(#REF!,#REF!,"md") &amp; " días"</f>
        <v>#REF!</v>
      </c>
      <c r="J126" s="172"/>
      <c r="K126" s="179"/>
      <c r="L126" s="173"/>
      <c r="M126" s="69">
        <v>23826.3</v>
      </c>
      <c r="N126" s="26" t="s">
        <v>339</v>
      </c>
    </row>
    <row r="127" spans="1:14" s="7" customFormat="1" ht="45" customHeight="1" x14ac:dyDescent="0.25">
      <c r="A127" s="20">
        <v>108</v>
      </c>
      <c r="B127" s="67"/>
      <c r="C127" s="66" t="s">
        <v>149</v>
      </c>
      <c r="D127" s="66" t="s">
        <v>560</v>
      </c>
      <c r="E127" s="67" t="s">
        <v>561</v>
      </c>
      <c r="F127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27" s="68">
        <v>0.6</v>
      </c>
      <c r="H127" s="20" t="e">
        <f>DATEDIF(#REF!,#REF!,"y") &amp; " años " &amp; DATEDIF(#REF!,#REF!,"ym") &amp; " meses " &amp; DATEDIF(#REF!,#REF!,"md") &amp; " días"</f>
        <v>#REF!</v>
      </c>
      <c r="I127" s="20" t="e">
        <f>DATEDIF(#REF!,#REF!,"y") &amp; " años " &amp; DATEDIF(#REF!,#REF!,"ym") &amp; " meses " &amp; DATEDIF(#REF!,#REF!,"md") &amp; " días"</f>
        <v>#REF!</v>
      </c>
      <c r="J127" s="172"/>
      <c r="K127" s="179"/>
      <c r="L127" s="173"/>
      <c r="M127" s="69">
        <v>22588.39</v>
      </c>
      <c r="N127" s="26" t="s">
        <v>339</v>
      </c>
    </row>
    <row r="128" spans="1:14" s="7" customFormat="1" ht="45" customHeight="1" x14ac:dyDescent="0.25">
      <c r="A128" s="20">
        <v>109</v>
      </c>
      <c r="B128" s="67"/>
      <c r="C128" s="66" t="s">
        <v>149</v>
      </c>
      <c r="D128" s="66" t="s">
        <v>562</v>
      </c>
      <c r="E128" s="67" t="s">
        <v>563</v>
      </c>
      <c r="F128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28" s="68">
        <v>0.6</v>
      </c>
      <c r="H128" s="20" t="e">
        <f>DATEDIF(#REF!,#REF!,"y") &amp; " años " &amp; DATEDIF(#REF!,#REF!,"ym") &amp; " meses " &amp; DATEDIF(#REF!,#REF!,"md") &amp; " días"</f>
        <v>#REF!</v>
      </c>
      <c r="I128" s="20" t="e">
        <f>DATEDIF(#REF!,#REF!,"y") &amp; " años " &amp; DATEDIF(#REF!,#REF!,"ym") &amp; " meses " &amp; DATEDIF(#REF!,#REF!,"md") &amp; " días"</f>
        <v>#REF!</v>
      </c>
      <c r="J128" s="172"/>
      <c r="K128" s="179"/>
      <c r="L128" s="173"/>
      <c r="M128" s="69">
        <v>22588.39</v>
      </c>
      <c r="N128" s="26" t="s">
        <v>339</v>
      </c>
    </row>
    <row r="129" spans="1:18" s="7" customFormat="1" ht="45" customHeight="1" x14ac:dyDescent="0.25">
      <c r="A129" s="20">
        <v>110</v>
      </c>
      <c r="B129" s="20"/>
      <c r="C129" s="66" t="s">
        <v>176</v>
      </c>
      <c r="D129" s="66" t="s">
        <v>564</v>
      </c>
      <c r="E129" s="67" t="s">
        <v>565</v>
      </c>
      <c r="F129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29" s="68">
        <v>0.6</v>
      </c>
      <c r="H129" s="20" t="e">
        <f>DATEDIF(#REF!,#REF!,"y") &amp; " años " &amp; DATEDIF(#REF!,#REF!,"ym") &amp; " meses " &amp; DATEDIF(#REF!,#REF!,"md") &amp; " días"</f>
        <v>#REF!</v>
      </c>
      <c r="I129" s="20" t="e">
        <f>DATEDIF(#REF!,#REF!,"y") &amp; " años " &amp; DATEDIF(#REF!,#REF!,"ym") &amp; " meses " &amp; DATEDIF(#REF!,#REF!,"md") &amp; " días"</f>
        <v>#REF!</v>
      </c>
      <c r="J129" s="172"/>
      <c r="K129" s="179"/>
      <c r="L129" s="173"/>
      <c r="M129" s="69">
        <v>19306.32</v>
      </c>
      <c r="N129" s="26" t="s">
        <v>339</v>
      </c>
    </row>
    <row r="130" spans="1:18" s="7" customFormat="1" ht="45" customHeight="1" x14ac:dyDescent="0.25">
      <c r="A130" s="20">
        <v>111</v>
      </c>
      <c r="B130" s="20"/>
      <c r="C130" s="66" t="s">
        <v>176</v>
      </c>
      <c r="D130" s="66" t="s">
        <v>566</v>
      </c>
      <c r="E130" s="67" t="s">
        <v>567</v>
      </c>
      <c r="F130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30" s="68">
        <v>0.625</v>
      </c>
      <c r="H130" s="20" t="e">
        <f>DATEDIF(#REF!,#REF!,"y") &amp; " años " &amp; DATEDIF(#REF!,#REF!,"ym") &amp; " meses " &amp; DATEDIF(#REF!,#REF!,"md") &amp; " días"</f>
        <v>#REF!</v>
      </c>
      <c r="I130" s="20" t="e">
        <f>DATEDIF(#REF!,#REF!,"y") &amp; " años " &amp; DATEDIF(#REF!,#REF!,"ym") &amp; " meses " &amp; DATEDIF(#REF!,#REF!,"md") &amp; " días"</f>
        <v>#REF!</v>
      </c>
      <c r="J130" s="172"/>
      <c r="K130" s="179"/>
      <c r="L130" s="173"/>
      <c r="M130" s="69">
        <v>22588.39</v>
      </c>
      <c r="N130" s="26" t="s">
        <v>339</v>
      </c>
    </row>
    <row r="131" spans="1:18" s="7" customFormat="1" ht="45" customHeight="1" x14ac:dyDescent="0.25">
      <c r="A131" s="20">
        <v>112</v>
      </c>
      <c r="B131" s="20"/>
      <c r="C131" s="66" t="s">
        <v>176</v>
      </c>
      <c r="D131" s="66" t="s">
        <v>568</v>
      </c>
      <c r="E131" s="67" t="s">
        <v>569</v>
      </c>
      <c r="F131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31" s="68">
        <v>0.67500000000000004</v>
      </c>
      <c r="H131" s="20" t="e">
        <f>DATEDIF(#REF!,#REF!,"y") &amp; " años " &amp; DATEDIF(#REF!,#REF!,"ym") &amp; " meses " &amp; DATEDIF(#REF!,#REF!,"md") &amp; " días"</f>
        <v>#REF!</v>
      </c>
      <c r="I131" s="20" t="e">
        <f>DATEDIF(#REF!,#REF!,"y") &amp; " años " &amp; DATEDIF(#REF!,#REF!,"ym") &amp; " meses " &amp; DATEDIF(#REF!,#REF!,"md") &amp; " días"</f>
        <v>#REF!</v>
      </c>
      <c r="J131" s="172"/>
      <c r="K131" s="179"/>
      <c r="L131" s="173"/>
      <c r="M131" s="69">
        <v>14300</v>
      </c>
      <c r="N131" s="26" t="s">
        <v>339</v>
      </c>
    </row>
    <row r="132" spans="1:18" s="7" customFormat="1" ht="45" customHeight="1" x14ac:dyDescent="0.25">
      <c r="A132" s="20">
        <v>113</v>
      </c>
      <c r="B132" s="20"/>
      <c r="C132" s="66" t="s">
        <v>176</v>
      </c>
      <c r="D132" s="66" t="s">
        <v>570</v>
      </c>
      <c r="E132" s="67" t="s">
        <v>571</v>
      </c>
      <c r="F132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32" s="68">
        <v>0.67500000000000004</v>
      </c>
      <c r="H132" s="20" t="e">
        <f>DATEDIF(#REF!,#REF!,"y") &amp; " años " &amp; DATEDIF(#REF!,#REF!,"ym") &amp; " meses " &amp; DATEDIF(#REF!,#REF!,"md") &amp; " días"</f>
        <v>#REF!</v>
      </c>
      <c r="I132" s="20" t="e">
        <f>DATEDIF(#REF!,#REF!,"y") &amp; " años " &amp; DATEDIF(#REF!,#REF!,"ym") &amp; " meses " &amp; DATEDIF(#REF!,#REF!,"md") &amp; " días"</f>
        <v>#REF!</v>
      </c>
      <c r="J132" s="172"/>
      <c r="K132" s="179"/>
      <c r="L132" s="173"/>
      <c r="M132" s="69">
        <v>21377.08</v>
      </c>
      <c r="N132" s="26" t="s">
        <v>339</v>
      </c>
    </row>
    <row r="133" spans="1:18" s="7" customFormat="1" ht="45" customHeight="1" x14ac:dyDescent="0.25">
      <c r="A133" s="20">
        <v>114</v>
      </c>
      <c r="B133" s="20"/>
      <c r="C133" s="66" t="s">
        <v>176</v>
      </c>
      <c r="D133" s="66" t="s">
        <v>572</v>
      </c>
      <c r="E133" s="67" t="s">
        <v>573</v>
      </c>
      <c r="F133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33" s="68">
        <v>0.625</v>
      </c>
      <c r="H133" s="20" t="e">
        <f>DATEDIF(#REF!,#REF!,"y") &amp; " años " &amp; DATEDIF(#REF!,#REF!,"ym") &amp; " meses " &amp; DATEDIF(#REF!,#REF!,"md") &amp; " días"</f>
        <v>#REF!</v>
      </c>
      <c r="I133" s="20" t="e">
        <f>DATEDIF(#REF!,#REF!,"y") &amp; " años " &amp; DATEDIF(#REF!,#REF!,"ym") &amp; " meses " &amp; DATEDIF(#REF!,#REF!,"md") &amp; " días"</f>
        <v>#REF!</v>
      </c>
      <c r="J133" s="172" t="s">
        <v>13</v>
      </c>
      <c r="K133" s="179"/>
      <c r="L133" s="173"/>
      <c r="M133" s="69">
        <v>22588.39</v>
      </c>
      <c r="N133" s="26" t="s">
        <v>339</v>
      </c>
    </row>
    <row r="134" spans="1:18" s="7" customFormat="1" ht="45" customHeight="1" x14ac:dyDescent="0.25">
      <c r="A134" s="20">
        <v>115</v>
      </c>
      <c r="B134" s="67"/>
      <c r="C134" s="66" t="s">
        <v>176</v>
      </c>
      <c r="D134" s="66" t="s">
        <v>574</v>
      </c>
      <c r="E134" s="67" t="s">
        <v>575</v>
      </c>
      <c r="F134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34" s="68">
        <v>0.6</v>
      </c>
      <c r="H134" s="20" t="e">
        <f>DATEDIF(#REF!,#REF!,"y") &amp; " años " &amp; DATEDIF(#REF!,#REF!,"ym") &amp; " meses " &amp; DATEDIF(#REF!,#REF!,"md") &amp; " días"</f>
        <v>#REF!</v>
      </c>
      <c r="I134" s="20" t="e">
        <f>DATEDIF(#REF!,#REF!,"y") &amp; " años " &amp; DATEDIF(#REF!,#REF!,"ym") &amp; " meses " &amp; DATEDIF(#REF!,#REF!,"md") &amp; " días"</f>
        <v>#REF!</v>
      </c>
      <c r="J134" s="172"/>
      <c r="K134" s="179"/>
      <c r="L134" s="173"/>
      <c r="M134" s="69">
        <v>22588.39</v>
      </c>
      <c r="N134" s="26" t="s">
        <v>339</v>
      </c>
    </row>
    <row r="135" spans="1:18" s="7" customFormat="1" ht="45" customHeight="1" x14ac:dyDescent="0.25">
      <c r="A135" s="20">
        <v>116</v>
      </c>
      <c r="B135" s="20"/>
      <c r="C135" s="66" t="s">
        <v>230</v>
      </c>
      <c r="D135" s="66" t="s">
        <v>576</v>
      </c>
      <c r="E135" s="67" t="s">
        <v>577</v>
      </c>
      <c r="F135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35" s="68">
        <v>0.7</v>
      </c>
      <c r="H135" s="20" t="e">
        <f>DATEDIF(#REF!,#REF!,"y") &amp; " años " &amp; DATEDIF(#REF!,#REF!,"ym") &amp; " meses " &amp; DATEDIF(#REF!,#REF!,"md") &amp; " días"</f>
        <v>#REF!</v>
      </c>
      <c r="I135" s="20"/>
      <c r="J135" s="172"/>
      <c r="K135" s="179"/>
      <c r="L135" s="173"/>
      <c r="M135" s="69">
        <v>12500</v>
      </c>
      <c r="N135" s="26" t="s">
        <v>338</v>
      </c>
    </row>
    <row r="137" spans="1:18" x14ac:dyDescent="0.2">
      <c r="A137" s="168" t="s">
        <v>184</v>
      </c>
      <c r="B137" s="168"/>
      <c r="C137" s="168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6"/>
      <c r="P137" s="6"/>
      <c r="Q137" s="6"/>
      <c r="R137" s="6"/>
    </row>
    <row r="138" spans="1:18" s="19" customFormat="1" ht="25.5" x14ac:dyDescent="0.2">
      <c r="A138" s="8" t="s">
        <v>4</v>
      </c>
      <c r="B138" s="8" t="s">
        <v>5</v>
      </c>
      <c r="C138" s="9" t="s">
        <v>6</v>
      </c>
      <c r="D138" s="9" t="s">
        <v>7</v>
      </c>
      <c r="E138" s="63" t="s">
        <v>8</v>
      </c>
      <c r="F138" s="64" t="s">
        <v>9</v>
      </c>
      <c r="G138" s="10" t="s">
        <v>10</v>
      </c>
      <c r="H138" s="9" t="s">
        <v>11</v>
      </c>
      <c r="I138" s="11" t="s">
        <v>12</v>
      </c>
      <c r="J138" s="166" t="s">
        <v>13</v>
      </c>
      <c r="K138" s="180"/>
      <c r="L138" s="167"/>
      <c r="M138" s="12" t="s">
        <v>14</v>
      </c>
      <c r="N138" s="13"/>
    </row>
    <row r="139" spans="1:18" s="7" customFormat="1" ht="45" customHeight="1" x14ac:dyDescent="0.2">
      <c r="A139" s="20">
        <v>1</v>
      </c>
      <c r="B139" s="65"/>
      <c r="C139" s="66" t="s">
        <v>578</v>
      </c>
      <c r="D139" s="66" t="s">
        <v>579</v>
      </c>
      <c r="E139" s="67" t="s">
        <v>580</v>
      </c>
      <c r="F139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39" s="68">
        <v>1</v>
      </c>
      <c r="H139" s="20" t="e">
        <f>DATEDIF(#REF!,#REF!,"y") &amp; " años " &amp; DATEDIF(#REF!,#REF!,"ym") &amp; " meses " &amp; DATEDIF(#REF!,#REF!,"md") &amp; " días"</f>
        <v>#REF!</v>
      </c>
      <c r="I139" s="20" t="e">
        <f>DATEDIF(#REF!,#REF!,"y") &amp; " años " &amp; DATEDIF(#REF!,#REF!,"ym") &amp; " meses " &amp; DATEDIF(#REF!,#REF!,"md") &amp; " días"</f>
        <v>#REF!</v>
      </c>
      <c r="J139" s="172" t="s">
        <v>13</v>
      </c>
      <c r="K139" s="179"/>
      <c r="L139" s="173"/>
      <c r="M139" s="69">
        <v>150000</v>
      </c>
      <c r="N139" s="26" t="s">
        <v>336</v>
      </c>
    </row>
    <row r="140" spans="1:18" s="7" customFormat="1" ht="45" customHeight="1" x14ac:dyDescent="0.2">
      <c r="A140" s="20">
        <v>2</v>
      </c>
      <c r="B140" s="65"/>
      <c r="C140" s="66" t="s">
        <v>581</v>
      </c>
      <c r="D140" s="66" t="s">
        <v>582</v>
      </c>
      <c r="E140" s="67" t="s">
        <v>583</v>
      </c>
      <c r="F140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40" s="68">
        <v>1</v>
      </c>
      <c r="H140" s="20" t="e">
        <f>DATEDIF(#REF!,#REF!,"y") &amp; " años " &amp; DATEDIF(#REF!,#REF!,"ym") &amp; " meses " &amp; DATEDIF(#REF!,#REF!,"md") &amp; " días"</f>
        <v>#REF!</v>
      </c>
      <c r="I140" s="20" t="e">
        <f>DATEDIF(#REF!,#REF!,"y") &amp; " años " &amp; DATEDIF(#REF!,#REF!,"ym") &amp; " meses " &amp; DATEDIF(#REF!,#REF!,"md") &amp; " días"</f>
        <v>#REF!</v>
      </c>
      <c r="J140" s="172"/>
      <c r="K140" s="179"/>
      <c r="L140" s="173"/>
      <c r="M140" s="69">
        <f>38187.54</f>
        <v>38187.54</v>
      </c>
      <c r="N140" s="26" t="s">
        <v>336</v>
      </c>
    </row>
    <row r="141" spans="1:18" s="7" customFormat="1" ht="45" customHeight="1" x14ac:dyDescent="0.2">
      <c r="A141" s="20">
        <v>3</v>
      </c>
      <c r="B141" s="65"/>
      <c r="C141" s="66" t="s">
        <v>581</v>
      </c>
      <c r="D141" s="66" t="s">
        <v>584</v>
      </c>
      <c r="E141" s="67" t="s">
        <v>585</v>
      </c>
      <c r="F141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41" s="68">
        <v>0.85</v>
      </c>
      <c r="H141" s="20" t="e">
        <f>DATEDIF(#REF!,#REF!,"y") &amp; " años " &amp; DATEDIF(#REF!,#REF!,"ym") &amp; " meses " &amp; DATEDIF(#REF!,#REF!,"md") &amp; " días"</f>
        <v>#REF!</v>
      </c>
      <c r="I141" s="20" t="e">
        <f>DATEDIF(#REF!,#REF!,"y") &amp; " años " &amp; DATEDIF(#REF!,#REF!,"ym") &amp; " meses " &amp; DATEDIF(#REF!,#REF!,"md") &amp; " días"</f>
        <v>#REF!</v>
      </c>
      <c r="J141" s="172"/>
      <c r="K141" s="179"/>
      <c r="L141" s="173"/>
      <c r="M141" s="69">
        <v>33637.53</v>
      </c>
      <c r="N141" s="26" t="s">
        <v>336</v>
      </c>
    </row>
    <row r="142" spans="1:18" s="7" customFormat="1" ht="45" customHeight="1" x14ac:dyDescent="0.2">
      <c r="A142" s="20">
        <v>4</v>
      </c>
      <c r="B142" s="65"/>
      <c r="C142" s="66" t="s">
        <v>581</v>
      </c>
      <c r="D142" s="66" t="s">
        <v>586</v>
      </c>
      <c r="E142" s="67" t="s">
        <v>587</v>
      </c>
      <c r="F142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42" s="68">
        <v>0.625</v>
      </c>
      <c r="H142" s="20" t="e">
        <f>DATEDIF(#REF!,#REF!,"y") &amp; " años " &amp; DATEDIF(#REF!,#REF!,"ym") &amp; " meses " &amp; DATEDIF(#REF!,#REF!,"md") &amp; " días"</f>
        <v>#REF!</v>
      </c>
      <c r="I142" s="20" t="e">
        <f>DATEDIF(#REF!,#REF!,"y") &amp; " años " &amp; DATEDIF(#REF!,#REF!,"ym") &amp; " meses " &amp; DATEDIF(#REF!,#REF!,"md") &amp; " días"</f>
        <v>#REF!</v>
      </c>
      <c r="J142" s="172"/>
      <c r="K142" s="179"/>
      <c r="L142" s="173"/>
      <c r="M142" s="69">
        <v>38187.54</v>
      </c>
      <c r="N142" s="26" t="s">
        <v>336</v>
      </c>
    </row>
    <row r="143" spans="1:18" s="7" customFormat="1" ht="45" customHeight="1" x14ac:dyDescent="0.2">
      <c r="A143" s="20">
        <v>5</v>
      </c>
      <c r="B143" s="65"/>
      <c r="C143" s="66" t="s">
        <v>581</v>
      </c>
      <c r="D143" s="66" t="s">
        <v>588</v>
      </c>
      <c r="E143" s="67" t="s">
        <v>589</v>
      </c>
      <c r="F143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43" s="68">
        <v>1</v>
      </c>
      <c r="H143" s="20" t="e">
        <f>DATEDIF(#REF!,#REF!,"y") &amp; " años " &amp; DATEDIF(#REF!,#REF!,"ym") &amp; " meses " &amp; DATEDIF(#REF!,#REF!,"md") &amp; " días"</f>
        <v>#REF!</v>
      </c>
      <c r="I143" s="20" t="e">
        <f>DATEDIF(#REF!,#REF!,"y") &amp; " años " &amp; DATEDIF(#REF!,#REF!,"ym") &amp; " meses " &amp; DATEDIF(#REF!,#REF!,"md") &amp; " días"</f>
        <v>#REF!</v>
      </c>
      <c r="J143" s="172"/>
      <c r="K143" s="179"/>
      <c r="L143" s="173"/>
      <c r="M143" s="69">
        <v>70000</v>
      </c>
      <c r="N143" s="26" t="s">
        <v>336</v>
      </c>
    </row>
    <row r="144" spans="1:18" s="7" customFormat="1" ht="45" customHeight="1" x14ac:dyDescent="0.25">
      <c r="A144" s="20">
        <v>6</v>
      </c>
      <c r="B144" s="20"/>
      <c r="C144" s="66" t="s">
        <v>590</v>
      </c>
      <c r="D144" s="66" t="s">
        <v>591</v>
      </c>
      <c r="E144" s="67" t="s">
        <v>592</v>
      </c>
      <c r="F144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44" s="68">
        <v>0.88</v>
      </c>
      <c r="H144" s="20" t="e">
        <f>DATEDIF(#REF!,#REF!,"y") &amp; " años " &amp; DATEDIF(#REF!,#REF!,"ym") &amp; " meses " &amp; DATEDIF(#REF!,#REF!,"md") &amp; " días"</f>
        <v>#REF!</v>
      </c>
      <c r="I144" s="20" t="e">
        <f>DATEDIF(#REF!,#REF!,"y") &amp; " años " &amp; DATEDIF(#REF!,#REF!,"ym") &amp; " meses " &amp; DATEDIF(#REF!,#REF!,"md") &amp; " días"</f>
        <v>#REF!</v>
      </c>
      <c r="J144" s="172"/>
      <c r="K144" s="179"/>
      <c r="L144" s="173"/>
      <c r="M144" s="69">
        <v>70000</v>
      </c>
      <c r="N144" s="26" t="s">
        <v>338</v>
      </c>
    </row>
    <row r="145" spans="1:14" s="7" customFormat="1" ht="45" customHeight="1" x14ac:dyDescent="0.2">
      <c r="A145" s="20">
        <v>7</v>
      </c>
      <c r="B145" s="65"/>
      <c r="C145" s="66" t="s">
        <v>186</v>
      </c>
      <c r="D145" s="66" t="s">
        <v>593</v>
      </c>
      <c r="E145" s="67" t="s">
        <v>594</v>
      </c>
      <c r="F145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45" s="68">
        <v>0.7</v>
      </c>
      <c r="H145" s="20" t="e">
        <f>DATEDIF(#REF!,#REF!,"y") &amp; " años " &amp; DATEDIF(#REF!,#REF!,"ym") &amp; " meses " &amp; DATEDIF(#REF!,#REF!,"md") &amp; " días"</f>
        <v>#REF!</v>
      </c>
      <c r="I145" s="20" t="e">
        <f>DATEDIF(#REF!,#REF!,"y") &amp; " años " &amp; DATEDIF(#REF!,#REF!,"ym") &amp; " meses " &amp; DATEDIF(#REF!,#REF!,"md") &amp; " días"</f>
        <v>#REF!</v>
      </c>
      <c r="J145" s="172"/>
      <c r="K145" s="179"/>
      <c r="L145" s="173"/>
      <c r="M145" s="69">
        <f>29343.32</f>
        <v>29343.32</v>
      </c>
      <c r="N145" s="26" t="s">
        <v>336</v>
      </c>
    </row>
    <row r="146" spans="1:14" s="7" customFormat="1" ht="45" customHeight="1" x14ac:dyDescent="0.2">
      <c r="A146" s="20">
        <v>8</v>
      </c>
      <c r="B146" s="65"/>
      <c r="C146" s="66" t="s">
        <v>186</v>
      </c>
      <c r="D146" s="66" t="s">
        <v>595</v>
      </c>
      <c r="E146" s="67" t="s">
        <v>596</v>
      </c>
      <c r="F146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46" s="68">
        <v>0.85</v>
      </c>
      <c r="H146" s="20" t="e">
        <f>DATEDIF(#REF!,#REF!,"y") &amp; " años " &amp; DATEDIF(#REF!,#REF!,"ym") &amp; " meses " &amp; DATEDIF(#REF!,#REF!,"md") &amp; " días"</f>
        <v>#REF!</v>
      </c>
      <c r="I146" s="20" t="e">
        <f>DATEDIF(#REF!,#REF!,"y") &amp; " años " &amp; DATEDIF(#REF!,#REF!,"ym") &amp; " meses " &amp; DATEDIF(#REF!,#REF!,"md") &amp; " días"</f>
        <v>#REF!</v>
      </c>
      <c r="J146" s="172"/>
      <c r="K146" s="179"/>
      <c r="L146" s="173"/>
      <c r="M146" s="69">
        <v>50000</v>
      </c>
      <c r="N146" s="26" t="s">
        <v>336</v>
      </c>
    </row>
    <row r="147" spans="1:14" s="7" customFormat="1" ht="45" customHeight="1" x14ac:dyDescent="0.2">
      <c r="A147" s="20">
        <v>9</v>
      </c>
      <c r="B147" s="65"/>
      <c r="C147" s="66" t="s">
        <v>186</v>
      </c>
      <c r="D147" s="66" t="s">
        <v>597</v>
      </c>
      <c r="E147" s="67" t="s">
        <v>598</v>
      </c>
      <c r="F147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47" s="68">
        <v>0.97</v>
      </c>
      <c r="H147" s="20" t="e">
        <f>DATEDIF(#REF!,#REF!,"y") &amp; " años " &amp; DATEDIF(#REF!,#REF!,"ym") &amp; " meses " &amp; DATEDIF(#REF!,#REF!,"md") &amp; " días"</f>
        <v>#REF!</v>
      </c>
      <c r="I147" s="20" t="e">
        <f>DATEDIF(#REF!,#REF!,"y") &amp; " años " &amp; DATEDIF(#REF!,#REF!,"ym") &amp; " meses " &amp; DATEDIF(#REF!,#REF!,"md") &amp; " días"</f>
        <v>#REF!</v>
      </c>
      <c r="J147" s="172"/>
      <c r="K147" s="179"/>
      <c r="L147" s="173"/>
      <c r="M147" s="69">
        <f>33637.53</f>
        <v>33637.53</v>
      </c>
      <c r="N147" s="26" t="s">
        <v>336</v>
      </c>
    </row>
    <row r="148" spans="1:14" s="7" customFormat="1" ht="45" customHeight="1" x14ac:dyDescent="0.2">
      <c r="A148" s="20">
        <v>10</v>
      </c>
      <c r="B148" s="65"/>
      <c r="C148" s="66" t="s">
        <v>186</v>
      </c>
      <c r="D148" s="66" t="s">
        <v>599</v>
      </c>
      <c r="E148" s="67" t="s">
        <v>600</v>
      </c>
      <c r="F148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48" s="68">
        <v>0.97</v>
      </c>
      <c r="H148" s="20" t="e">
        <f>DATEDIF(#REF!,#REF!,"y") &amp; " años " &amp; DATEDIF(#REF!,#REF!,"ym") &amp; " meses " &amp; DATEDIF(#REF!,#REF!,"md") &amp; " días"</f>
        <v>#REF!</v>
      </c>
      <c r="I148" s="20" t="e">
        <f>DATEDIF(#REF!,#REF!,"y") &amp; " años " &amp; DATEDIF(#REF!,#REF!,"ym") &amp; " meses " &amp; DATEDIF(#REF!,#REF!,"md") &amp; " días"</f>
        <v>#REF!</v>
      </c>
      <c r="J148" s="172"/>
      <c r="K148" s="179"/>
      <c r="L148" s="173"/>
      <c r="M148" s="69">
        <f>29343.32</f>
        <v>29343.32</v>
      </c>
      <c r="N148" s="26" t="s">
        <v>336</v>
      </c>
    </row>
    <row r="149" spans="1:14" s="7" customFormat="1" ht="45" customHeight="1" x14ac:dyDescent="0.2">
      <c r="A149" s="20">
        <v>11</v>
      </c>
      <c r="B149" s="65"/>
      <c r="C149" s="66" t="s">
        <v>186</v>
      </c>
      <c r="D149" s="66" t="s">
        <v>601</v>
      </c>
      <c r="E149" s="67" t="s">
        <v>602</v>
      </c>
      <c r="F149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49" s="68">
        <v>0.85</v>
      </c>
      <c r="H149" s="20" t="e">
        <f>DATEDIF(#REF!,#REF!,"y") &amp; " años " &amp; DATEDIF(#REF!,#REF!,"ym") &amp; " meses " &amp; DATEDIF(#REF!,#REF!,"md") &amp; " días"</f>
        <v>#REF!</v>
      </c>
      <c r="I149" s="20" t="e">
        <f>DATEDIF(#REF!,#REF!,"y") &amp; " años " &amp; DATEDIF(#REF!,#REF!,"ym") &amp; " meses " &amp; DATEDIF(#REF!,#REF!,"md") &amp; " días"</f>
        <v>#REF!</v>
      </c>
      <c r="J149" s="172"/>
      <c r="K149" s="179"/>
      <c r="L149" s="173"/>
      <c r="M149" s="69">
        <v>29343.32</v>
      </c>
      <c r="N149" s="26" t="s">
        <v>336</v>
      </c>
    </row>
    <row r="150" spans="1:14" s="7" customFormat="1" ht="45" customHeight="1" x14ac:dyDescent="0.2">
      <c r="A150" s="20">
        <v>12</v>
      </c>
      <c r="B150" s="65"/>
      <c r="C150" s="66" t="s">
        <v>186</v>
      </c>
      <c r="D150" s="66" t="s">
        <v>603</v>
      </c>
      <c r="E150" s="67" t="s">
        <v>604</v>
      </c>
      <c r="F150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50" s="68">
        <v>1</v>
      </c>
      <c r="H150" s="20" t="e">
        <f>DATEDIF(#REF!,#REF!,"y") &amp; " años " &amp; DATEDIF(#REF!,#REF!,"ym") &amp; " meses " &amp; DATEDIF(#REF!,#REF!,"md") &amp; " días"</f>
        <v>#REF!</v>
      </c>
      <c r="I150" s="20" t="e">
        <f>DATEDIF(#REF!,#REF!,"y") &amp; " años " &amp; DATEDIF(#REF!,#REF!,"ym") &amp; " meses " &amp; DATEDIF(#REF!,#REF!,"md") &amp; " días"</f>
        <v>#REF!</v>
      </c>
      <c r="J150" s="172"/>
      <c r="K150" s="179"/>
      <c r="L150" s="173"/>
      <c r="M150" s="69">
        <f>33637.53+14000</f>
        <v>47637.53</v>
      </c>
      <c r="N150" s="26" t="s">
        <v>336</v>
      </c>
    </row>
    <row r="151" spans="1:14" s="7" customFormat="1" ht="45" customHeight="1" x14ac:dyDescent="0.2">
      <c r="A151" s="20">
        <v>13</v>
      </c>
      <c r="B151" s="65"/>
      <c r="C151" s="66" t="s">
        <v>186</v>
      </c>
      <c r="D151" s="66" t="s">
        <v>605</v>
      </c>
      <c r="E151" s="67" t="s">
        <v>606</v>
      </c>
      <c r="F151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51" s="68">
        <v>0.67500000000000004</v>
      </c>
      <c r="H151" s="20" t="e">
        <f>DATEDIF(#REF!,#REF!,"y") &amp; " años " &amp; DATEDIF(#REF!,#REF!,"ym") &amp; " meses " &amp; DATEDIF(#REF!,#REF!,"md") &amp; " días"</f>
        <v>#REF!</v>
      </c>
      <c r="I151" s="20" t="e">
        <f>DATEDIF(#REF!,#REF!,"y") &amp; " años " &amp; DATEDIF(#REF!,#REF!,"ym") &amp; " meses " &amp; DATEDIF(#REF!,#REF!,"md") &amp; " días"</f>
        <v>#REF!</v>
      </c>
      <c r="J151" s="172"/>
      <c r="K151" s="179"/>
      <c r="L151" s="173"/>
      <c r="M151" s="69">
        <v>70000</v>
      </c>
      <c r="N151" s="26" t="s">
        <v>336</v>
      </c>
    </row>
    <row r="152" spans="1:14" s="7" customFormat="1" ht="45" customHeight="1" x14ac:dyDescent="0.2">
      <c r="A152" s="20">
        <v>14</v>
      </c>
      <c r="B152" s="65"/>
      <c r="C152" s="66" t="s">
        <v>607</v>
      </c>
      <c r="D152" s="66" t="s">
        <v>608</v>
      </c>
      <c r="E152" s="67" t="s">
        <v>609</v>
      </c>
      <c r="F152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52" s="68">
        <v>0.65</v>
      </c>
      <c r="H152" s="20" t="e">
        <f>DATEDIF(#REF!,#REF!,"y") &amp; " años " &amp; DATEDIF(#REF!,#REF!,"ym") &amp; " meses " &amp; DATEDIF(#REF!,#REF!,"md") &amp; " días"</f>
        <v>#REF!</v>
      </c>
      <c r="I152" s="20" t="e">
        <f>DATEDIF(#REF!,#REF!,"y") &amp; " años " &amp; DATEDIF(#REF!,#REF!,"ym") &amp; " meses " &amp; DATEDIF(#REF!,#REF!,"md") &amp; " días"</f>
        <v>#REF!</v>
      </c>
      <c r="J152" s="172"/>
      <c r="K152" s="179"/>
      <c r="L152" s="173"/>
      <c r="M152" s="69">
        <f>29343.31</f>
        <v>29343.31</v>
      </c>
      <c r="N152" s="26" t="s">
        <v>336</v>
      </c>
    </row>
    <row r="153" spans="1:14" s="7" customFormat="1" ht="45" customHeight="1" x14ac:dyDescent="0.2">
      <c r="A153" s="20">
        <v>15</v>
      </c>
      <c r="B153" s="65"/>
      <c r="C153" s="66" t="s">
        <v>607</v>
      </c>
      <c r="D153" s="66" t="s">
        <v>610</v>
      </c>
      <c r="E153" s="67" t="s">
        <v>611</v>
      </c>
      <c r="F153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53" s="68">
        <v>0.85</v>
      </c>
      <c r="H153" s="20" t="e">
        <f>DATEDIF(#REF!,#REF!,"y") &amp; " años " &amp; DATEDIF(#REF!,#REF!,"ym") &amp; " meses " &amp; DATEDIF(#REF!,#REF!,"md") &amp; " días"</f>
        <v>#REF!</v>
      </c>
      <c r="I153" s="20" t="e">
        <f>DATEDIF(#REF!,#REF!,"y") &amp; " años " &amp; DATEDIF(#REF!,#REF!,"ym") &amp; " meses " &amp; DATEDIF(#REF!,#REF!,"md") &amp; " días"</f>
        <v>#REF!</v>
      </c>
      <c r="J153" s="172"/>
      <c r="K153" s="179"/>
      <c r="L153" s="173"/>
      <c r="M153" s="69">
        <f>27563.58</f>
        <v>27563.58</v>
      </c>
      <c r="N153" s="26" t="s">
        <v>336</v>
      </c>
    </row>
    <row r="154" spans="1:14" s="7" customFormat="1" ht="45" customHeight="1" x14ac:dyDescent="0.2">
      <c r="A154" s="20">
        <v>16</v>
      </c>
      <c r="B154" s="65"/>
      <c r="C154" s="66" t="s">
        <v>607</v>
      </c>
      <c r="D154" s="66" t="s">
        <v>612</v>
      </c>
      <c r="E154" s="67" t="s">
        <v>613</v>
      </c>
      <c r="F154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54" s="68">
        <v>0.88</v>
      </c>
      <c r="H154" s="20" t="e">
        <f>DATEDIF(#REF!,#REF!,"y") &amp; " años " &amp; DATEDIF(#REF!,#REF!,"ym") &amp; " meses " &amp; DATEDIF(#REF!,#REF!,"md") &amp; " días"</f>
        <v>#REF!</v>
      </c>
      <c r="I154" s="20" t="e">
        <f>DATEDIF(#REF!,#REF!,"y") &amp; " años " &amp; DATEDIF(#REF!,#REF!,"ym") &amp; " meses " &amp; DATEDIF(#REF!,#REF!,"md") &amp; " días"</f>
        <v>#REF!</v>
      </c>
      <c r="J154" s="172"/>
      <c r="K154" s="179"/>
      <c r="L154" s="173"/>
      <c r="M154" s="69">
        <v>27563.58</v>
      </c>
      <c r="N154" s="26" t="s">
        <v>336</v>
      </c>
    </row>
    <row r="155" spans="1:14" s="7" customFormat="1" ht="45" customHeight="1" x14ac:dyDescent="0.25">
      <c r="A155" s="20">
        <v>17</v>
      </c>
      <c r="B155" s="20"/>
      <c r="C155" s="21" t="s">
        <v>614</v>
      </c>
      <c r="D155" s="22" t="s">
        <v>615</v>
      </c>
      <c r="E155" s="70" t="s">
        <v>616</v>
      </c>
      <c r="F155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55" s="24">
        <v>1</v>
      </c>
      <c r="H155" s="20" t="e">
        <f>DATEDIF(#REF!,#REF!,"y") &amp; " años " &amp; DATEDIF(#REF!,#REF!,"ym") &amp; " meses " &amp; DATEDIF(#REF!,#REF!,"md") &amp; " días"</f>
        <v>#REF!</v>
      </c>
      <c r="I155" s="20" t="e">
        <f>DATEDIF(#REF!,#REF!,"y") &amp; " años " &amp; DATEDIF(#REF!,#REF!,"ym") &amp; " meses " &amp; DATEDIF(#REF!,#REF!,"md") &amp; " días"</f>
        <v>#REF!</v>
      </c>
      <c r="J155" s="172"/>
      <c r="K155" s="179"/>
      <c r="L155" s="173"/>
      <c r="M155" s="26">
        <f>27563.58+8000</f>
        <v>35563.58</v>
      </c>
      <c r="N155" s="26" t="s">
        <v>337</v>
      </c>
    </row>
    <row r="156" spans="1:14" s="7" customFormat="1" ht="45" customHeight="1" x14ac:dyDescent="0.25">
      <c r="A156" s="20">
        <v>18</v>
      </c>
      <c r="B156" s="20"/>
      <c r="C156" s="66" t="s">
        <v>617</v>
      </c>
      <c r="D156" s="66" t="s">
        <v>618</v>
      </c>
      <c r="E156" s="67" t="s">
        <v>619</v>
      </c>
      <c r="F156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56" s="68">
        <v>0.7</v>
      </c>
      <c r="H156" s="20" t="e">
        <f>DATEDIF(#REF!,#REF!,"y") &amp; " años " &amp; DATEDIF(#REF!,#REF!,"ym") &amp; " meses " &amp; DATEDIF(#REF!,#REF!,"md") &amp; " días"</f>
        <v>#REF!</v>
      </c>
      <c r="I156" s="20" t="e">
        <f>DATEDIF(#REF!,#REF!,"y") &amp; " años " &amp; DATEDIF(#REF!,#REF!,"ym") &amp; " meses " &amp; DATEDIF(#REF!,#REF!,"md") &amp; " días"</f>
        <v>#REF!</v>
      </c>
      <c r="J156" s="172"/>
      <c r="K156" s="179"/>
      <c r="L156" s="173"/>
      <c r="M156" s="69">
        <v>13811.69</v>
      </c>
      <c r="N156" s="26" t="s">
        <v>338</v>
      </c>
    </row>
    <row r="157" spans="1:14" s="7" customFormat="1" ht="45" customHeight="1" x14ac:dyDescent="0.2">
      <c r="A157" s="20">
        <v>19</v>
      </c>
      <c r="B157" s="65"/>
      <c r="C157" s="66" t="s">
        <v>202</v>
      </c>
      <c r="D157" s="66" t="s">
        <v>620</v>
      </c>
      <c r="E157" s="67" t="s">
        <v>621</v>
      </c>
      <c r="F157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57" s="68">
        <v>0.91</v>
      </c>
      <c r="H157" s="20" t="e">
        <f>DATEDIF(#REF!,#REF!,"y") &amp; " años " &amp; DATEDIF(#REF!,#REF!,"ym") &amp; " meses " &amp; DATEDIF(#REF!,#REF!,"md") &amp; " días"</f>
        <v>#REF!</v>
      </c>
      <c r="I157" s="20" t="e">
        <f>DATEDIF(#REF!,#REF!,"y") &amp; " años " &amp; DATEDIF(#REF!,#REF!,"ym") &amp; " meses " &amp; DATEDIF(#REF!,#REF!,"md") &amp; " días"</f>
        <v>#REF!</v>
      </c>
      <c r="J157" s="172"/>
      <c r="K157" s="179"/>
      <c r="L157" s="173"/>
      <c r="M157" s="69">
        <f>27563.58</f>
        <v>27563.58</v>
      </c>
      <c r="N157" s="26" t="s">
        <v>336</v>
      </c>
    </row>
    <row r="158" spans="1:14" s="7" customFormat="1" ht="45" customHeight="1" x14ac:dyDescent="0.2">
      <c r="A158" s="20">
        <v>20</v>
      </c>
      <c r="B158" s="65"/>
      <c r="C158" s="66" t="s">
        <v>202</v>
      </c>
      <c r="D158" s="66" t="s">
        <v>622</v>
      </c>
      <c r="E158" s="67" t="s">
        <v>623</v>
      </c>
      <c r="F158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58" s="68">
        <v>0.88</v>
      </c>
      <c r="H158" s="20" t="e">
        <f>DATEDIF(#REF!,#REF!,"y") &amp; " años " &amp; DATEDIF(#REF!,#REF!,"ym") &amp; " meses " &amp; DATEDIF(#REF!,#REF!,"md") &amp; " días"</f>
        <v>#REF!</v>
      </c>
      <c r="I158" s="20" t="e">
        <f>DATEDIF(#REF!,#REF!,"y") &amp; " años " &amp; DATEDIF(#REF!,#REF!,"ym") &amp; " meses " &amp; DATEDIF(#REF!,#REF!,"md") &amp; " días"</f>
        <v>#REF!</v>
      </c>
      <c r="J158" s="172"/>
      <c r="K158" s="179"/>
      <c r="L158" s="173"/>
      <c r="M158" s="69">
        <f>27563.58</f>
        <v>27563.58</v>
      </c>
      <c r="N158" s="26" t="s">
        <v>336</v>
      </c>
    </row>
    <row r="159" spans="1:14" s="7" customFormat="1" ht="45" customHeight="1" x14ac:dyDescent="0.2">
      <c r="A159" s="20">
        <v>21</v>
      </c>
      <c r="B159" s="65"/>
      <c r="C159" s="66" t="s">
        <v>202</v>
      </c>
      <c r="D159" s="66" t="s">
        <v>624</v>
      </c>
      <c r="E159" s="67" t="s">
        <v>625</v>
      </c>
      <c r="F159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59" s="68">
        <v>0.8</v>
      </c>
      <c r="H159" s="20" t="e">
        <f>DATEDIF(#REF!,#REF!,"y") &amp; " años " &amp; DATEDIF(#REF!,#REF!,"ym") &amp; " meses " &amp; DATEDIF(#REF!,#REF!,"md") &amp; " días"</f>
        <v>#REF!</v>
      </c>
      <c r="I159" s="20" t="e">
        <f>DATEDIF(#REF!,#REF!,"y") &amp; " años " &amp; DATEDIF(#REF!,#REF!,"ym") &amp; " meses " &amp; DATEDIF(#REF!,#REF!,"md") &amp; " días"</f>
        <v>#REF!</v>
      </c>
      <c r="J159" s="172"/>
      <c r="K159" s="179"/>
      <c r="L159" s="173"/>
      <c r="M159" s="69">
        <v>25039.85</v>
      </c>
      <c r="N159" s="26" t="s">
        <v>336</v>
      </c>
    </row>
    <row r="160" spans="1:14" s="7" customFormat="1" ht="45" customHeight="1" x14ac:dyDescent="0.2">
      <c r="A160" s="20">
        <v>22</v>
      </c>
      <c r="B160" s="65"/>
      <c r="C160" s="66" t="s">
        <v>202</v>
      </c>
      <c r="D160" s="66" t="s">
        <v>626</v>
      </c>
      <c r="E160" s="67" t="s">
        <v>627</v>
      </c>
      <c r="F160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60" s="68">
        <v>0.88</v>
      </c>
      <c r="H160" s="20" t="e">
        <f>DATEDIF(#REF!,#REF!,"y") &amp; " años " &amp; DATEDIF(#REF!,#REF!,"ym") &amp; " meses " &amp; DATEDIF(#REF!,#REF!,"md") &amp; " días"</f>
        <v>#REF!</v>
      </c>
      <c r="I160" s="20" t="e">
        <f>DATEDIF(#REF!,#REF!,"y") &amp; " años " &amp; DATEDIF(#REF!,#REF!,"ym") &amp; " meses " &amp; DATEDIF(#REF!,#REF!,"md") &amp; " días"</f>
        <v>#REF!</v>
      </c>
      <c r="J160" s="172"/>
      <c r="K160" s="179"/>
      <c r="L160" s="173"/>
      <c r="M160" s="69">
        <f>27563.58</f>
        <v>27563.58</v>
      </c>
      <c r="N160" s="26" t="s">
        <v>336</v>
      </c>
    </row>
    <row r="161" spans="1:14" s="7" customFormat="1" ht="45" customHeight="1" x14ac:dyDescent="0.2">
      <c r="A161" s="20">
        <v>23</v>
      </c>
      <c r="B161" s="65"/>
      <c r="C161" s="66" t="s">
        <v>202</v>
      </c>
      <c r="D161" s="66" t="s">
        <v>628</v>
      </c>
      <c r="E161" s="67" t="s">
        <v>629</v>
      </c>
      <c r="F161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61" s="68">
        <v>0.88</v>
      </c>
      <c r="H161" s="20" t="e">
        <f>DATEDIF(#REF!,#REF!,"y") &amp; " años " &amp; DATEDIF(#REF!,#REF!,"ym") &amp; " meses " &amp; DATEDIF(#REF!,#REF!,"md") &amp; " días"</f>
        <v>#REF!</v>
      </c>
      <c r="I161" s="20" t="e">
        <f>DATEDIF(#REF!,#REF!,"y") &amp; " años " &amp; DATEDIF(#REF!,#REF!,"ym") &amp; " meses " &amp; DATEDIF(#REF!,#REF!,"md") &amp; " días"</f>
        <v>#REF!</v>
      </c>
      <c r="J161" s="172"/>
      <c r="K161" s="179"/>
      <c r="L161" s="173"/>
      <c r="M161" s="69">
        <f>27563.58</f>
        <v>27563.58</v>
      </c>
      <c r="N161" s="26" t="s">
        <v>336</v>
      </c>
    </row>
    <row r="162" spans="1:14" s="7" customFormat="1" ht="45" customHeight="1" x14ac:dyDescent="0.2">
      <c r="A162" s="20">
        <v>24</v>
      </c>
      <c r="B162" s="65"/>
      <c r="C162" s="66" t="s">
        <v>202</v>
      </c>
      <c r="D162" s="66" t="s">
        <v>630</v>
      </c>
      <c r="E162" s="67" t="s">
        <v>631</v>
      </c>
      <c r="F162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62" s="68">
        <v>0.88</v>
      </c>
      <c r="H162" s="20" t="e">
        <f>DATEDIF(#REF!,#REF!,"y") &amp; " años " &amp; DATEDIF(#REF!,#REF!,"ym") &amp; " meses " &amp; DATEDIF(#REF!,#REF!,"md") &amp; " días"</f>
        <v>#REF!</v>
      </c>
      <c r="I162" s="20" t="e">
        <f>DATEDIF(#REF!,#REF!,"y") &amp; " años " &amp; DATEDIF(#REF!,#REF!,"ym") &amp; " meses " &amp; DATEDIF(#REF!,#REF!,"md") &amp; " días"</f>
        <v>#REF!</v>
      </c>
      <c r="J162" s="172"/>
      <c r="K162" s="179"/>
      <c r="L162" s="173"/>
      <c r="M162" s="69">
        <v>27563.58</v>
      </c>
      <c r="N162" s="26" t="s">
        <v>336</v>
      </c>
    </row>
    <row r="163" spans="1:14" s="7" customFormat="1" ht="45" customHeight="1" x14ac:dyDescent="0.2">
      <c r="A163" s="20">
        <v>25</v>
      </c>
      <c r="B163" s="65"/>
      <c r="C163" s="66" t="s">
        <v>202</v>
      </c>
      <c r="D163" s="66" t="s">
        <v>632</v>
      </c>
      <c r="E163" s="67" t="s">
        <v>633</v>
      </c>
      <c r="F163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63" s="68">
        <v>0.88</v>
      </c>
      <c r="H163" s="20" t="e">
        <f>DATEDIF(#REF!,#REF!,"y") &amp; " años " &amp; DATEDIF(#REF!,#REF!,"ym") &amp; " meses " &amp; DATEDIF(#REF!,#REF!,"md") &amp; " días"</f>
        <v>#REF!</v>
      </c>
      <c r="I163" s="20" t="e">
        <f>DATEDIF(#REF!,#REF!,"y") &amp; " años " &amp; DATEDIF(#REF!,#REF!,"ym") &amp; " meses " &amp; DATEDIF(#REF!,#REF!,"md") &amp; " días"</f>
        <v>#REF!</v>
      </c>
      <c r="J163" s="172"/>
      <c r="K163" s="179"/>
      <c r="L163" s="173"/>
      <c r="M163" s="69">
        <f>27563.58</f>
        <v>27563.58</v>
      </c>
      <c r="N163" s="26" t="s">
        <v>336</v>
      </c>
    </row>
    <row r="164" spans="1:14" s="7" customFormat="1" ht="45" customHeight="1" x14ac:dyDescent="0.2">
      <c r="A164" s="20">
        <v>26</v>
      </c>
      <c r="B164" s="65"/>
      <c r="C164" s="66" t="s">
        <v>202</v>
      </c>
      <c r="D164" s="66" t="s">
        <v>634</v>
      </c>
      <c r="E164" s="67" t="s">
        <v>635</v>
      </c>
      <c r="F164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64" s="68">
        <v>0.88</v>
      </c>
      <c r="H164" s="20" t="e">
        <f>DATEDIF(#REF!,#REF!,"y") &amp; " años " &amp; DATEDIF(#REF!,#REF!,"ym") &amp; " meses " &amp; DATEDIF(#REF!,#REF!,"md") &amp; " días"</f>
        <v>#REF!</v>
      </c>
      <c r="I164" s="20" t="e">
        <f>DATEDIF(#REF!,#REF!,"y") &amp; " años " &amp; DATEDIF(#REF!,#REF!,"ym") &amp; " meses " &amp; DATEDIF(#REF!,#REF!,"md") &amp; " días"</f>
        <v>#REF!</v>
      </c>
      <c r="J164" s="172"/>
      <c r="K164" s="179"/>
      <c r="L164" s="173"/>
      <c r="M164" s="69">
        <f>27563.58</f>
        <v>27563.58</v>
      </c>
      <c r="N164" s="26" t="s">
        <v>336</v>
      </c>
    </row>
    <row r="165" spans="1:14" s="7" customFormat="1" ht="45" customHeight="1" x14ac:dyDescent="0.2">
      <c r="A165" s="20">
        <v>27</v>
      </c>
      <c r="B165" s="65"/>
      <c r="C165" s="66" t="s">
        <v>202</v>
      </c>
      <c r="D165" s="66" t="s">
        <v>636</v>
      </c>
      <c r="E165" s="67" t="s">
        <v>637</v>
      </c>
      <c r="F165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65" s="68">
        <v>0.85</v>
      </c>
      <c r="H165" s="20" t="e">
        <f>DATEDIF(#REF!,#REF!,"y") &amp; " años " &amp; DATEDIF(#REF!,#REF!,"ym") &amp; " meses " &amp; DATEDIF(#REF!,#REF!,"md") &amp; " días"</f>
        <v>#REF!</v>
      </c>
      <c r="I165" s="20" t="e">
        <f>DATEDIF(#REF!,#REF!,"y") &amp; " años " &amp; DATEDIF(#REF!,#REF!,"ym") &amp; " meses " &amp; DATEDIF(#REF!,#REF!,"md") &amp; " días"</f>
        <v>#REF!</v>
      </c>
      <c r="J165" s="172"/>
      <c r="K165" s="179"/>
      <c r="L165" s="173"/>
      <c r="M165" s="69">
        <f>27563.58</f>
        <v>27563.58</v>
      </c>
      <c r="N165" s="26" t="s">
        <v>336</v>
      </c>
    </row>
    <row r="166" spans="1:14" s="7" customFormat="1" ht="45" customHeight="1" x14ac:dyDescent="0.2">
      <c r="A166" s="20">
        <v>28</v>
      </c>
      <c r="B166" s="65"/>
      <c r="C166" s="66" t="s">
        <v>202</v>
      </c>
      <c r="D166" s="66" t="s">
        <v>638</v>
      </c>
      <c r="E166" s="67" t="s">
        <v>639</v>
      </c>
      <c r="F166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66" s="68">
        <v>0.85</v>
      </c>
      <c r="H166" s="20" t="e">
        <f>DATEDIF(#REF!,#REF!,"y") &amp; " años " &amp; DATEDIF(#REF!,#REF!,"ym") &amp; " meses " &amp; DATEDIF(#REF!,#REF!,"md") &amp; " días"</f>
        <v>#REF!</v>
      </c>
      <c r="I166" s="20" t="e">
        <f>DATEDIF(#REF!,#REF!,"y") &amp; " años " &amp; DATEDIF(#REF!,#REF!,"ym") &amp; " meses " &amp; DATEDIF(#REF!,#REF!,"md") &amp; " días"</f>
        <v>#REF!</v>
      </c>
      <c r="J166" s="172"/>
      <c r="K166" s="179"/>
      <c r="L166" s="173"/>
      <c r="M166" s="69">
        <f>27563.58</f>
        <v>27563.58</v>
      </c>
      <c r="N166" s="26" t="s">
        <v>336</v>
      </c>
    </row>
    <row r="167" spans="1:14" s="7" customFormat="1" ht="45" customHeight="1" x14ac:dyDescent="0.2">
      <c r="A167" s="20">
        <v>29</v>
      </c>
      <c r="B167" s="65"/>
      <c r="C167" s="66" t="s">
        <v>202</v>
      </c>
      <c r="D167" s="66" t="s">
        <v>640</v>
      </c>
      <c r="E167" s="67" t="s">
        <v>641</v>
      </c>
      <c r="F167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67" s="68">
        <v>0.88</v>
      </c>
      <c r="H167" s="20" t="e">
        <f>DATEDIF(#REF!,#REF!,"y") &amp; " años " &amp; DATEDIF(#REF!,#REF!,"ym") &amp; " meses " &amp; DATEDIF(#REF!,#REF!,"md") &amp; " días"</f>
        <v>#REF!</v>
      </c>
      <c r="I167" s="20" t="e">
        <f>DATEDIF(#REF!,#REF!,"y") &amp; " años " &amp; DATEDIF(#REF!,#REF!,"ym") &amp; " meses " &amp; DATEDIF(#REF!,#REF!,"md") &amp; " días"</f>
        <v>#REF!</v>
      </c>
      <c r="J167" s="172"/>
      <c r="K167" s="179"/>
      <c r="L167" s="173"/>
      <c r="M167" s="69">
        <v>25039.84</v>
      </c>
      <c r="N167" s="26" t="s">
        <v>336</v>
      </c>
    </row>
    <row r="168" spans="1:14" s="7" customFormat="1" ht="45" customHeight="1" x14ac:dyDescent="0.2">
      <c r="A168" s="20">
        <v>30</v>
      </c>
      <c r="B168" s="65"/>
      <c r="C168" s="66" t="s">
        <v>202</v>
      </c>
      <c r="D168" s="66" t="s">
        <v>642</v>
      </c>
      <c r="E168" s="67" t="s">
        <v>643</v>
      </c>
      <c r="F168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68" s="68">
        <v>0.85</v>
      </c>
      <c r="H168" s="20" t="e">
        <f>DATEDIF(#REF!,#REF!,"y") &amp; " años " &amp; DATEDIF(#REF!,#REF!,"ym") &amp; " meses " &amp; DATEDIF(#REF!,#REF!,"md") &amp; " días"</f>
        <v>#REF!</v>
      </c>
      <c r="I168" s="20" t="e">
        <f>DATEDIF(#REF!,#REF!,"y") &amp; " años " &amp; DATEDIF(#REF!,#REF!,"ym") &amp; " meses " &amp; DATEDIF(#REF!,#REF!,"md") &amp; " días"</f>
        <v>#REF!</v>
      </c>
      <c r="J168" s="172"/>
      <c r="K168" s="179"/>
      <c r="L168" s="173"/>
      <c r="M168" s="69">
        <f>25039.85</f>
        <v>25039.85</v>
      </c>
      <c r="N168" s="26" t="s">
        <v>336</v>
      </c>
    </row>
    <row r="169" spans="1:14" s="7" customFormat="1" ht="45" customHeight="1" x14ac:dyDescent="0.2">
      <c r="A169" s="20">
        <v>31</v>
      </c>
      <c r="B169" s="65"/>
      <c r="C169" s="66" t="s">
        <v>202</v>
      </c>
      <c r="D169" s="66" t="s">
        <v>644</v>
      </c>
      <c r="E169" s="67" t="s">
        <v>645</v>
      </c>
      <c r="F169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69" s="68">
        <v>0.85</v>
      </c>
      <c r="H169" s="20" t="e">
        <f>DATEDIF(#REF!,#REF!,"y") &amp; " años " &amp; DATEDIF(#REF!,#REF!,"ym") &amp; " meses " &amp; DATEDIF(#REF!,#REF!,"md") &amp; " días"</f>
        <v>#REF!</v>
      </c>
      <c r="I169" s="20" t="e">
        <f>DATEDIF(#REF!,#REF!,"y") &amp; " años " &amp; DATEDIF(#REF!,#REF!,"ym") &amp; " meses " &amp; DATEDIF(#REF!,#REF!,"md") &amp; " días"</f>
        <v>#REF!</v>
      </c>
      <c r="J169" s="172"/>
      <c r="K169" s="179"/>
      <c r="L169" s="173"/>
      <c r="M169" s="69">
        <v>25039.85</v>
      </c>
      <c r="N169" s="26" t="s">
        <v>336</v>
      </c>
    </row>
    <row r="170" spans="1:14" s="7" customFormat="1" ht="45" customHeight="1" x14ac:dyDescent="0.2">
      <c r="A170" s="20">
        <v>32</v>
      </c>
      <c r="B170" s="65"/>
      <c r="C170" s="66" t="s">
        <v>202</v>
      </c>
      <c r="D170" s="66" t="s">
        <v>646</v>
      </c>
      <c r="E170" s="67" t="s">
        <v>647</v>
      </c>
      <c r="F170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70" s="68">
        <v>0.85</v>
      </c>
      <c r="H170" s="20" t="e">
        <f>DATEDIF(#REF!,#REF!,"y") &amp; " años " &amp; DATEDIF(#REF!,#REF!,"ym") &amp; " meses " &amp; DATEDIF(#REF!,#REF!,"md") &amp; " días"</f>
        <v>#REF!</v>
      </c>
      <c r="I170" s="20" t="e">
        <f>DATEDIF(#REF!,#REF!,"y") &amp; " años " &amp; DATEDIF(#REF!,#REF!,"ym") &amp; " meses " &amp; DATEDIF(#REF!,#REF!,"md") &amp; " días"</f>
        <v>#REF!</v>
      </c>
      <c r="J170" s="172"/>
      <c r="K170" s="179"/>
      <c r="L170" s="173"/>
      <c r="M170" s="69">
        <f>25039.85</f>
        <v>25039.85</v>
      </c>
      <c r="N170" s="26" t="s">
        <v>336</v>
      </c>
    </row>
    <row r="171" spans="1:14" s="7" customFormat="1" ht="45" customHeight="1" x14ac:dyDescent="0.2">
      <c r="A171" s="20">
        <v>33</v>
      </c>
      <c r="B171" s="65"/>
      <c r="C171" s="66" t="s">
        <v>202</v>
      </c>
      <c r="D171" s="66" t="s">
        <v>648</v>
      </c>
      <c r="E171" s="67" t="s">
        <v>649</v>
      </c>
      <c r="F171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71" s="68">
        <v>0.88</v>
      </c>
      <c r="H171" s="20" t="e">
        <f>DATEDIF(#REF!,#REF!,"y") &amp; " años " &amp; DATEDIF(#REF!,#REF!,"ym") &amp; " meses " &amp; DATEDIF(#REF!,#REF!,"md") &amp; " días"</f>
        <v>#REF!</v>
      </c>
      <c r="I171" s="20" t="e">
        <f>DATEDIF(#REF!,#REF!,"y") &amp; " años " &amp; DATEDIF(#REF!,#REF!,"ym") &amp; " meses " &amp; DATEDIF(#REF!,#REF!,"md") &amp; " días"</f>
        <v>#REF!</v>
      </c>
      <c r="J171" s="172"/>
      <c r="K171" s="179"/>
      <c r="L171" s="173"/>
      <c r="M171" s="69">
        <v>25039.84</v>
      </c>
      <c r="N171" s="26" t="s">
        <v>336</v>
      </c>
    </row>
    <row r="172" spans="1:14" s="7" customFormat="1" ht="45" customHeight="1" x14ac:dyDescent="0.2">
      <c r="A172" s="20">
        <v>34</v>
      </c>
      <c r="B172" s="65"/>
      <c r="C172" s="66" t="s">
        <v>202</v>
      </c>
      <c r="D172" s="66" t="s">
        <v>650</v>
      </c>
      <c r="E172" s="67" t="s">
        <v>651</v>
      </c>
      <c r="F172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72" s="68">
        <v>0.88</v>
      </c>
      <c r="H172" s="20" t="e">
        <f>DATEDIF(#REF!,#REF!,"y") &amp; " años " &amp; DATEDIF(#REF!,#REF!,"ym") &amp; " meses " &amp; DATEDIF(#REF!,#REF!,"md") &amp; " días"</f>
        <v>#REF!</v>
      </c>
      <c r="I172" s="20" t="e">
        <f>DATEDIF(#REF!,#REF!,"y") &amp; " años " &amp; DATEDIF(#REF!,#REF!,"ym") &amp; " meses " &amp; DATEDIF(#REF!,#REF!,"md") &amp; " días"</f>
        <v>#REF!</v>
      </c>
      <c r="J172" s="172"/>
      <c r="K172" s="179"/>
      <c r="L172" s="173"/>
      <c r="M172" s="69">
        <f>27563.58</f>
        <v>27563.58</v>
      </c>
      <c r="N172" s="26" t="s">
        <v>336</v>
      </c>
    </row>
    <row r="173" spans="1:14" s="7" customFormat="1" ht="45" customHeight="1" x14ac:dyDescent="0.2">
      <c r="A173" s="20">
        <v>35</v>
      </c>
      <c r="B173" s="65"/>
      <c r="C173" s="66" t="s">
        <v>202</v>
      </c>
      <c r="D173" s="66" t="s">
        <v>652</v>
      </c>
      <c r="E173" s="67" t="s">
        <v>653</v>
      </c>
      <c r="F173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73" s="68">
        <v>0.85</v>
      </c>
      <c r="H173" s="20" t="e">
        <f>DATEDIF(#REF!,#REF!,"y") &amp; " años " &amp; DATEDIF(#REF!,#REF!,"ym") &amp; " meses " &amp; DATEDIF(#REF!,#REF!,"md") &amp; " días"</f>
        <v>#REF!</v>
      </c>
      <c r="I173" s="20" t="e">
        <f>DATEDIF(#REF!,#REF!,"y") &amp; " años " &amp; DATEDIF(#REF!,#REF!,"ym") &amp; " meses " &amp; DATEDIF(#REF!,#REF!,"md") &amp; " días"</f>
        <v>#REF!</v>
      </c>
      <c r="J173" s="172"/>
      <c r="K173" s="179"/>
      <c r="L173" s="173"/>
      <c r="M173" s="69">
        <f>27563.58</f>
        <v>27563.58</v>
      </c>
      <c r="N173" s="26" t="s">
        <v>336</v>
      </c>
    </row>
    <row r="174" spans="1:14" s="7" customFormat="1" ht="45" customHeight="1" x14ac:dyDescent="0.2">
      <c r="A174" s="20">
        <v>36</v>
      </c>
      <c r="B174" s="65"/>
      <c r="C174" s="66" t="s">
        <v>202</v>
      </c>
      <c r="D174" s="66" t="s">
        <v>654</v>
      </c>
      <c r="E174" s="67" t="s">
        <v>655</v>
      </c>
      <c r="F174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74" s="68">
        <v>0.85</v>
      </c>
      <c r="H174" s="20" t="e">
        <f>DATEDIF(#REF!,#REF!,"y") &amp; " años " &amp; DATEDIF(#REF!,#REF!,"ym") &amp; " meses " &amp; DATEDIF(#REF!,#REF!,"md") &amp; " días"</f>
        <v>#REF!</v>
      </c>
      <c r="I174" s="20" t="e">
        <f>DATEDIF(#REF!,#REF!,"y") &amp; " años " &amp; DATEDIF(#REF!,#REF!,"ym") &amp; " meses " &amp; DATEDIF(#REF!,#REF!,"md") &amp; " días"</f>
        <v>#REF!</v>
      </c>
      <c r="J174" s="172"/>
      <c r="K174" s="179"/>
      <c r="L174" s="173"/>
      <c r="M174" s="69">
        <f>25039.85</f>
        <v>25039.85</v>
      </c>
      <c r="N174" s="26" t="s">
        <v>336</v>
      </c>
    </row>
    <row r="175" spans="1:14" s="7" customFormat="1" ht="45" customHeight="1" x14ac:dyDescent="0.2">
      <c r="A175" s="20">
        <v>37</v>
      </c>
      <c r="B175" s="65"/>
      <c r="C175" s="66" t="s">
        <v>202</v>
      </c>
      <c r="D175" s="66" t="s">
        <v>656</v>
      </c>
      <c r="E175" s="67" t="s">
        <v>657</v>
      </c>
      <c r="F175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75" s="68">
        <v>0.75</v>
      </c>
      <c r="H175" s="20" t="e">
        <f>DATEDIF(#REF!,#REF!,"y") &amp; " años " &amp; DATEDIF(#REF!,#REF!,"ym") &amp; " meses " &amp; DATEDIF(#REF!,#REF!,"md") &amp; " días"</f>
        <v>#REF!</v>
      </c>
      <c r="I175" s="20" t="e">
        <f>DATEDIF(#REF!,#REF!,"y") &amp; " años " &amp; DATEDIF(#REF!,#REF!,"ym") &amp; " meses " &amp; DATEDIF(#REF!,#REF!,"md") &amp; " días"</f>
        <v>#REF!</v>
      </c>
      <c r="J175" s="172"/>
      <c r="K175" s="179"/>
      <c r="L175" s="173"/>
      <c r="M175" s="69">
        <f>27563.53</f>
        <v>27563.53</v>
      </c>
      <c r="N175" s="26" t="s">
        <v>336</v>
      </c>
    </row>
    <row r="176" spans="1:14" s="7" customFormat="1" ht="45" customHeight="1" x14ac:dyDescent="0.25">
      <c r="A176" s="20">
        <v>38</v>
      </c>
      <c r="B176" s="20"/>
      <c r="C176" s="21" t="s">
        <v>202</v>
      </c>
      <c r="D176" s="22" t="s">
        <v>658</v>
      </c>
      <c r="E176" s="70" t="s">
        <v>659</v>
      </c>
      <c r="F176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76" s="24">
        <v>1</v>
      </c>
      <c r="H176" s="20" t="e">
        <f>DATEDIF(#REF!,#REF!,"y") &amp; " años " &amp; DATEDIF(#REF!,#REF!,"ym") &amp; " meses " &amp; DATEDIF(#REF!,#REF!,"md") &amp; " días"</f>
        <v>#REF!</v>
      </c>
      <c r="I176" s="20" t="e">
        <f>DATEDIF(#REF!,#REF!,"y") &amp; " años " &amp; DATEDIF(#REF!,#REF!,"ym") &amp; " meses " &amp; DATEDIF(#REF!,#REF!,"md") &amp; " días"</f>
        <v>#REF!</v>
      </c>
      <c r="J176" s="172" t="s">
        <v>13</v>
      </c>
      <c r="K176" s="179"/>
      <c r="L176" s="173"/>
      <c r="M176" s="26">
        <v>27563.58</v>
      </c>
      <c r="N176" s="26" t="s">
        <v>337</v>
      </c>
    </row>
    <row r="177" spans="1:14" s="7" customFormat="1" ht="45" customHeight="1" x14ac:dyDescent="0.25">
      <c r="A177" s="20">
        <v>39</v>
      </c>
      <c r="B177" s="20"/>
      <c r="C177" s="66" t="s">
        <v>208</v>
      </c>
      <c r="D177" s="66" t="s">
        <v>660</v>
      </c>
      <c r="E177" s="67" t="s">
        <v>661</v>
      </c>
      <c r="F177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77" s="68">
        <v>0.625</v>
      </c>
      <c r="H177" s="20" t="e">
        <f>DATEDIF(#REF!,#REF!,"y") &amp; " años " &amp; DATEDIF(#REF!,#REF!,"ym") &amp; " meses " &amp; DATEDIF(#REF!,#REF!,"md") &amp; " días"</f>
        <v>#REF!</v>
      </c>
      <c r="I177" s="20" t="e">
        <f>DATEDIF(#REF!,#REF!,"y") &amp; " años " &amp; DATEDIF(#REF!,#REF!,"ym") &amp; " meses " &amp; DATEDIF(#REF!,#REF!,"md") &amp; " días"</f>
        <v>#REF!</v>
      </c>
      <c r="J177" s="172"/>
      <c r="K177" s="179"/>
      <c r="L177" s="173"/>
      <c r="M177" s="69">
        <v>25039.84</v>
      </c>
      <c r="N177" s="26" t="s">
        <v>338</v>
      </c>
    </row>
    <row r="178" spans="1:14" s="7" customFormat="1" ht="45" customHeight="1" x14ac:dyDescent="0.2">
      <c r="A178" s="20">
        <v>40</v>
      </c>
      <c r="B178" s="65"/>
      <c r="C178" s="66" t="s">
        <v>211</v>
      </c>
      <c r="D178" s="66" t="s">
        <v>662</v>
      </c>
      <c r="E178" s="67" t="s">
        <v>663</v>
      </c>
      <c r="F178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78" s="68">
        <v>0.75</v>
      </c>
      <c r="H178" s="20" t="e">
        <f>DATEDIF(#REF!,#REF!,"y") &amp; " años " &amp; DATEDIF(#REF!,#REF!,"ym") &amp; " meses " &amp; DATEDIF(#REF!,#REF!,"md") &amp; " días"</f>
        <v>#REF!</v>
      </c>
      <c r="I178" s="20" t="e">
        <f>DATEDIF(#REF!,#REF!,"y") &amp; " años " &amp; DATEDIF(#REF!,#REF!,"ym") &amp; " meses " &amp; DATEDIF(#REF!,#REF!,"md") &amp; " días"</f>
        <v>#REF!</v>
      </c>
      <c r="J178" s="172"/>
      <c r="K178" s="179"/>
      <c r="L178" s="173"/>
      <c r="M178" s="69">
        <f>23826.29</f>
        <v>23826.29</v>
      </c>
      <c r="N178" s="26" t="s">
        <v>336</v>
      </c>
    </row>
    <row r="179" spans="1:14" s="7" customFormat="1" ht="45" customHeight="1" x14ac:dyDescent="0.2">
      <c r="A179" s="20">
        <v>41</v>
      </c>
      <c r="B179" s="65"/>
      <c r="C179" s="66" t="s">
        <v>211</v>
      </c>
      <c r="D179" s="66" t="s">
        <v>664</v>
      </c>
      <c r="E179" s="67" t="s">
        <v>665</v>
      </c>
      <c r="F179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79" s="68">
        <v>0.77500000000000002</v>
      </c>
      <c r="H179" s="20" t="e">
        <f>DATEDIF(#REF!,#REF!,"y") &amp; " años " &amp; DATEDIF(#REF!,#REF!,"ym") &amp; " meses " &amp; DATEDIF(#REF!,#REF!,"md") &amp; " días"</f>
        <v>#REF!</v>
      </c>
      <c r="I179" s="20" t="e">
        <f>DATEDIF(#REF!,#REF!,"y") &amp; " años " &amp; DATEDIF(#REF!,#REF!,"ym") &amp; " meses " &amp; DATEDIF(#REF!,#REF!,"md") &amp; " días"</f>
        <v>#REF!</v>
      </c>
      <c r="J179" s="172"/>
      <c r="K179" s="179"/>
      <c r="L179" s="173"/>
      <c r="M179" s="69">
        <f>25039.85</f>
        <v>25039.85</v>
      </c>
      <c r="N179" s="26" t="s">
        <v>336</v>
      </c>
    </row>
    <row r="180" spans="1:14" s="7" customFormat="1" ht="45" customHeight="1" x14ac:dyDescent="0.2">
      <c r="A180" s="20">
        <v>42</v>
      </c>
      <c r="B180" s="65"/>
      <c r="C180" s="66" t="s">
        <v>211</v>
      </c>
      <c r="D180" s="66" t="s">
        <v>666</v>
      </c>
      <c r="E180" s="67" t="s">
        <v>667</v>
      </c>
      <c r="F180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80" s="68">
        <v>0.77500000000000002</v>
      </c>
      <c r="H180" s="20" t="e">
        <f>DATEDIF(#REF!,#REF!,"y") &amp; " años " &amp; DATEDIF(#REF!,#REF!,"ym") &amp; " meses " &amp; DATEDIF(#REF!,#REF!,"md") &amp; " días"</f>
        <v>#REF!</v>
      </c>
      <c r="I180" s="20" t="e">
        <f>DATEDIF(#REF!,#REF!,"y") &amp; " años " &amp; DATEDIF(#REF!,#REF!,"ym") &amp; " meses " &amp; DATEDIF(#REF!,#REF!,"md") &amp; " días"</f>
        <v>#REF!</v>
      </c>
      <c r="J180" s="172"/>
      <c r="K180" s="179"/>
      <c r="L180" s="173"/>
      <c r="M180" s="69">
        <f>25039.85</f>
        <v>25039.85</v>
      </c>
      <c r="N180" s="26" t="s">
        <v>336</v>
      </c>
    </row>
    <row r="181" spans="1:14" s="7" customFormat="1" ht="45" customHeight="1" x14ac:dyDescent="0.2">
      <c r="A181" s="20">
        <v>43</v>
      </c>
      <c r="B181" s="65"/>
      <c r="C181" s="66" t="s">
        <v>211</v>
      </c>
      <c r="D181" s="66" t="s">
        <v>668</v>
      </c>
      <c r="E181" s="67" t="s">
        <v>669</v>
      </c>
      <c r="F181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81" s="68">
        <v>0.82499999999999996</v>
      </c>
      <c r="H181" s="20" t="e">
        <f>DATEDIF(#REF!,#REF!,"y") &amp; " años " &amp; DATEDIF(#REF!,#REF!,"ym") &amp; " meses " &amp; DATEDIF(#REF!,#REF!,"md") &amp; " días"</f>
        <v>#REF!</v>
      </c>
      <c r="I181" s="20" t="e">
        <f>DATEDIF(#REF!,#REF!,"y") &amp; " años " &amp; DATEDIF(#REF!,#REF!,"ym") &amp; " meses " &amp; DATEDIF(#REF!,#REF!,"md") &amp; " días"</f>
        <v>#REF!</v>
      </c>
      <c r="J181" s="172"/>
      <c r="K181" s="179"/>
      <c r="L181" s="173"/>
      <c r="M181" s="69">
        <f>25039.84</f>
        <v>25039.84</v>
      </c>
      <c r="N181" s="26" t="s">
        <v>336</v>
      </c>
    </row>
    <row r="182" spans="1:14" s="7" customFormat="1" ht="45" customHeight="1" x14ac:dyDescent="0.2">
      <c r="A182" s="20">
        <v>44</v>
      </c>
      <c r="B182" s="65"/>
      <c r="C182" s="66" t="s">
        <v>211</v>
      </c>
      <c r="D182" s="66" t="s">
        <v>670</v>
      </c>
      <c r="E182" s="67" t="s">
        <v>671</v>
      </c>
      <c r="F182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82" s="68">
        <v>0.75</v>
      </c>
      <c r="H182" s="20" t="e">
        <f>DATEDIF(#REF!,#REF!,"y") &amp; " años " &amp; DATEDIF(#REF!,#REF!,"ym") &amp; " meses " &amp; DATEDIF(#REF!,#REF!,"md") &amp; " días"</f>
        <v>#REF!</v>
      </c>
      <c r="I182" s="20" t="e">
        <f>DATEDIF(#REF!,#REF!,"y") &amp; " años " &amp; DATEDIF(#REF!,#REF!,"ym") &amp; " meses " &amp; DATEDIF(#REF!,#REF!,"md") &amp; " días"</f>
        <v>#REF!</v>
      </c>
      <c r="J182" s="172"/>
      <c r="K182" s="179"/>
      <c r="L182" s="173"/>
      <c r="M182" s="69">
        <f>25039.84</f>
        <v>25039.84</v>
      </c>
      <c r="N182" s="26" t="s">
        <v>336</v>
      </c>
    </row>
    <row r="183" spans="1:14" s="7" customFormat="1" ht="45" customHeight="1" x14ac:dyDescent="0.2">
      <c r="A183" s="20">
        <v>45</v>
      </c>
      <c r="B183" s="65"/>
      <c r="C183" s="66" t="s">
        <v>211</v>
      </c>
      <c r="D183" s="66" t="s">
        <v>672</v>
      </c>
      <c r="E183" s="67" t="s">
        <v>673</v>
      </c>
      <c r="F183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83" s="68">
        <v>0.77500000000000002</v>
      </c>
      <c r="H183" s="20" t="e">
        <f>DATEDIF(#REF!,#REF!,"y") &amp; " años " &amp; DATEDIF(#REF!,#REF!,"ym") &amp; " meses " &amp; DATEDIF(#REF!,#REF!,"md") &amp; " días"</f>
        <v>#REF!</v>
      </c>
      <c r="I183" s="20" t="e">
        <f>DATEDIF(#REF!,#REF!,"y") &amp; " años " &amp; DATEDIF(#REF!,#REF!,"ym") &amp; " meses " &amp; DATEDIF(#REF!,#REF!,"md") &amp; " días"</f>
        <v>#REF!</v>
      </c>
      <c r="J183" s="172"/>
      <c r="K183" s="179"/>
      <c r="L183" s="173"/>
      <c r="M183" s="69">
        <f>25039.85</f>
        <v>25039.85</v>
      </c>
      <c r="N183" s="26" t="s">
        <v>336</v>
      </c>
    </row>
    <row r="184" spans="1:14" s="7" customFormat="1" ht="45" customHeight="1" x14ac:dyDescent="0.2">
      <c r="A184" s="20">
        <v>46</v>
      </c>
      <c r="B184" s="65"/>
      <c r="C184" s="66" t="s">
        <v>211</v>
      </c>
      <c r="D184" s="66" t="s">
        <v>674</v>
      </c>
      <c r="E184" s="67" t="s">
        <v>675</v>
      </c>
      <c r="F184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84" s="68">
        <v>0.72499999999999998</v>
      </c>
      <c r="H184" s="20" t="e">
        <f>DATEDIF(#REF!,#REF!,"y") &amp; " años " &amp; DATEDIF(#REF!,#REF!,"ym") &amp; " meses " &amp; DATEDIF(#REF!,#REF!,"md") &amp; " días"</f>
        <v>#REF!</v>
      </c>
      <c r="I184" s="20" t="e">
        <f>DATEDIF(#REF!,#REF!,"y") &amp; " años " &amp; DATEDIF(#REF!,#REF!,"ym") &amp; " meses " &amp; DATEDIF(#REF!,#REF!,"md") &amp; " días"</f>
        <v>#REF!</v>
      </c>
      <c r="J184" s="172"/>
      <c r="K184" s="179"/>
      <c r="L184" s="173"/>
      <c r="M184" s="69">
        <f>23826.29</f>
        <v>23826.29</v>
      </c>
      <c r="N184" s="26" t="s">
        <v>336</v>
      </c>
    </row>
    <row r="185" spans="1:14" s="7" customFormat="1" ht="45" customHeight="1" x14ac:dyDescent="0.2">
      <c r="A185" s="20">
        <v>47</v>
      </c>
      <c r="B185" s="65"/>
      <c r="C185" s="66" t="s">
        <v>211</v>
      </c>
      <c r="D185" s="66" t="s">
        <v>676</v>
      </c>
      <c r="E185" s="67" t="s">
        <v>677</v>
      </c>
      <c r="F185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85" s="68">
        <v>0.75</v>
      </c>
      <c r="H185" s="20" t="e">
        <f>DATEDIF(#REF!,#REF!,"y") &amp; " años " &amp; DATEDIF(#REF!,#REF!,"ym") &amp; " meses " &amp; DATEDIF(#REF!,#REF!,"md") &amp; " días"</f>
        <v>#REF!</v>
      </c>
      <c r="I185" s="20" t="e">
        <f>DATEDIF(#REF!,#REF!,"y") &amp; " años " &amp; DATEDIF(#REF!,#REF!,"ym") &amp; " meses " &amp; DATEDIF(#REF!,#REF!,"md") &amp; " días"</f>
        <v>#REF!</v>
      </c>
      <c r="J185" s="172"/>
      <c r="K185" s="179"/>
      <c r="L185" s="173"/>
      <c r="M185" s="69">
        <f>25039.85</f>
        <v>25039.85</v>
      </c>
      <c r="N185" s="26" t="s">
        <v>336</v>
      </c>
    </row>
    <row r="186" spans="1:14" s="7" customFormat="1" ht="45" customHeight="1" x14ac:dyDescent="0.2">
      <c r="A186" s="20">
        <v>48</v>
      </c>
      <c r="B186" s="65"/>
      <c r="C186" s="66" t="s">
        <v>211</v>
      </c>
      <c r="D186" s="66" t="s">
        <v>678</v>
      </c>
      <c r="E186" s="67" t="s">
        <v>679</v>
      </c>
      <c r="F186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86" s="68">
        <v>0.77500000000000002</v>
      </c>
      <c r="H186" s="20" t="e">
        <f>DATEDIF(#REF!,#REF!,"y") &amp; " años " &amp; DATEDIF(#REF!,#REF!,"ym") &amp; " meses " &amp; DATEDIF(#REF!,#REF!,"md") &amp; " días"</f>
        <v>#REF!</v>
      </c>
      <c r="I186" s="20" t="e">
        <f>DATEDIF(#REF!,#REF!,"y") &amp; " años " &amp; DATEDIF(#REF!,#REF!,"ym") &amp; " meses " &amp; DATEDIF(#REF!,#REF!,"md") &amp; " días"</f>
        <v>#REF!</v>
      </c>
      <c r="J186" s="172"/>
      <c r="K186" s="179"/>
      <c r="L186" s="173"/>
      <c r="M186" s="69">
        <f>23826.3</f>
        <v>23826.3</v>
      </c>
      <c r="N186" s="26" t="s">
        <v>336</v>
      </c>
    </row>
    <row r="187" spans="1:14" s="7" customFormat="1" ht="45" customHeight="1" x14ac:dyDescent="0.2">
      <c r="A187" s="20">
        <v>49</v>
      </c>
      <c r="B187" s="65"/>
      <c r="C187" s="66" t="s">
        <v>211</v>
      </c>
      <c r="D187" s="66" t="s">
        <v>680</v>
      </c>
      <c r="E187" s="67" t="s">
        <v>681</v>
      </c>
      <c r="F187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87" s="68">
        <v>0.67500000000000004</v>
      </c>
      <c r="H187" s="20" t="e">
        <f>DATEDIF(#REF!,#REF!,"y") &amp; " años " &amp; DATEDIF(#REF!,#REF!,"ym") &amp; " meses " &amp; DATEDIF(#REF!,#REF!,"md") &amp; " días"</f>
        <v>#REF!</v>
      </c>
      <c r="I187" s="20" t="e">
        <f>DATEDIF(#REF!,#REF!,"y") &amp; " años " &amp; DATEDIF(#REF!,#REF!,"ym") &amp; " meses " &amp; DATEDIF(#REF!,#REF!,"md") &amp; " días"</f>
        <v>#REF!</v>
      </c>
      <c r="J187" s="172"/>
      <c r="K187" s="179"/>
      <c r="L187" s="173"/>
      <c r="M187" s="69">
        <v>23826.3</v>
      </c>
      <c r="N187" s="26" t="s">
        <v>336</v>
      </c>
    </row>
    <row r="188" spans="1:14" s="7" customFormat="1" ht="45" customHeight="1" x14ac:dyDescent="0.25">
      <c r="A188" s="20">
        <v>50</v>
      </c>
      <c r="B188" s="20"/>
      <c r="C188" s="21" t="s">
        <v>682</v>
      </c>
      <c r="D188" s="22" t="s">
        <v>683</v>
      </c>
      <c r="E188" s="70" t="s">
        <v>684</v>
      </c>
      <c r="F188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88" s="24">
        <v>1</v>
      </c>
      <c r="H188" s="20" t="e">
        <f>DATEDIF(#REF!,#REF!,"y") &amp; " años " &amp; DATEDIF(#REF!,#REF!,"ym") &amp; " meses " &amp; DATEDIF(#REF!,#REF!,"md") &amp; " días"</f>
        <v>#REF!</v>
      </c>
      <c r="I188" s="20" t="e">
        <f>DATEDIF(#REF!,#REF!,"y") &amp; " años " &amp; DATEDIF(#REF!,#REF!,"ym") &amp; " meses " &amp; DATEDIF(#REF!,#REF!,"md") &amp; " días"</f>
        <v>#REF!</v>
      </c>
      <c r="J188" s="172"/>
      <c r="K188" s="179"/>
      <c r="L188" s="173"/>
      <c r="M188" s="26">
        <f>25039.85</f>
        <v>25039.85</v>
      </c>
      <c r="N188" s="26" t="s">
        <v>337</v>
      </c>
    </row>
    <row r="189" spans="1:14" s="7" customFormat="1" ht="45" customHeight="1" x14ac:dyDescent="0.25">
      <c r="A189" s="20">
        <v>51</v>
      </c>
      <c r="B189" s="20"/>
      <c r="C189" s="21" t="s">
        <v>682</v>
      </c>
      <c r="D189" s="22" t="s">
        <v>685</v>
      </c>
      <c r="E189" s="70" t="s">
        <v>686</v>
      </c>
      <c r="F189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89" s="24">
        <v>1</v>
      </c>
      <c r="H189" s="20" t="e">
        <f>DATEDIF(#REF!,#REF!,"y") &amp; " años " &amp; DATEDIF(#REF!,#REF!,"ym") &amp; " meses " &amp; DATEDIF(#REF!,#REF!,"md") &amp; " días"</f>
        <v>#REF!</v>
      </c>
      <c r="I189" s="20" t="e">
        <f>DATEDIF(#REF!,#REF!,"y") &amp; " años " &amp; DATEDIF(#REF!,#REF!,"ym") &amp; " meses " &amp; DATEDIF(#REF!,#REF!,"md") &amp; " días"</f>
        <v>#REF!</v>
      </c>
      <c r="J189" s="172"/>
      <c r="K189" s="179"/>
      <c r="L189" s="173"/>
      <c r="M189" s="26">
        <f>25039.85+8000</f>
        <v>33039.85</v>
      </c>
      <c r="N189" s="26" t="s">
        <v>337</v>
      </c>
    </row>
    <row r="190" spans="1:14" s="7" customFormat="1" ht="45" customHeight="1" x14ac:dyDescent="0.25">
      <c r="A190" s="20">
        <v>52</v>
      </c>
      <c r="B190" s="20"/>
      <c r="C190" s="66" t="s">
        <v>218</v>
      </c>
      <c r="D190" s="66" t="s">
        <v>687</v>
      </c>
      <c r="E190" s="67" t="s">
        <v>688</v>
      </c>
      <c r="F190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90" s="68">
        <v>0.77500000000000002</v>
      </c>
      <c r="H190" s="20" t="e">
        <f>DATEDIF(#REF!,#REF!,"y") &amp; " años " &amp; DATEDIF(#REF!,#REF!,"ym") &amp; " meses " &amp; DATEDIF(#REF!,#REF!,"md") &amp; " días"</f>
        <v>#REF!</v>
      </c>
      <c r="I190" s="20" t="e">
        <f>DATEDIF(#REF!,#REF!,"y") &amp; " años " &amp; DATEDIF(#REF!,#REF!,"ym") &amp; " meses " &amp; DATEDIF(#REF!,#REF!,"md") &amp; " días"</f>
        <v>#REF!</v>
      </c>
      <c r="J190" s="172"/>
      <c r="K190" s="179"/>
      <c r="L190" s="173"/>
      <c r="M190" s="69">
        <v>25039.85</v>
      </c>
      <c r="N190" s="26" t="s">
        <v>338</v>
      </c>
    </row>
    <row r="191" spans="1:14" s="7" customFormat="1" ht="45" customHeight="1" x14ac:dyDescent="0.25">
      <c r="A191" s="20">
        <v>53</v>
      </c>
      <c r="B191" s="20"/>
      <c r="C191" s="66" t="s">
        <v>218</v>
      </c>
      <c r="D191" s="66" t="s">
        <v>689</v>
      </c>
      <c r="E191" s="67" t="s">
        <v>690</v>
      </c>
      <c r="F191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91" s="68">
        <v>0.7</v>
      </c>
      <c r="H191" s="20" t="e">
        <f>DATEDIF(#REF!,#REF!,"y") &amp; " años " &amp; DATEDIF(#REF!,#REF!,"ym") &amp; " meses " &amp; DATEDIF(#REF!,#REF!,"md") &amp; " días"</f>
        <v>#REF!</v>
      </c>
      <c r="I191" s="20" t="e">
        <f>DATEDIF(#REF!,#REF!,"y") &amp; " años " &amp; DATEDIF(#REF!,#REF!,"ym") &amp; " meses " &amp; DATEDIF(#REF!,#REF!,"md") &amp; " días"</f>
        <v>#REF!</v>
      </c>
      <c r="J191" s="172"/>
      <c r="K191" s="179"/>
      <c r="L191" s="173"/>
      <c r="M191" s="69">
        <v>15600</v>
      </c>
      <c r="N191" s="26" t="s">
        <v>338</v>
      </c>
    </row>
    <row r="192" spans="1:14" s="7" customFormat="1" ht="45" customHeight="1" x14ac:dyDescent="0.2">
      <c r="A192" s="20">
        <v>54</v>
      </c>
      <c r="B192" s="65"/>
      <c r="C192" s="66" t="s">
        <v>145</v>
      </c>
      <c r="D192" s="66" t="s">
        <v>691</v>
      </c>
      <c r="E192" s="67" t="s">
        <v>692</v>
      </c>
      <c r="F192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92" s="68">
        <v>0.8</v>
      </c>
      <c r="H192" s="20" t="e">
        <f>DATEDIF(#REF!,#REF!,"y") &amp; " años " &amp; DATEDIF(#REF!,#REF!,"ym") &amp; " meses " &amp; DATEDIF(#REF!,#REF!,"md") &amp; " días"</f>
        <v>#REF!</v>
      </c>
      <c r="I192" s="20" t="e">
        <f>DATEDIF(#REF!,#REF!,"y") &amp; " años " &amp; DATEDIF(#REF!,#REF!,"ym") &amp; " meses " &amp; DATEDIF(#REF!,#REF!,"md") &amp; " días"</f>
        <v>#REF!</v>
      </c>
      <c r="J192" s="172"/>
      <c r="K192" s="179"/>
      <c r="L192" s="173"/>
      <c r="M192" s="69">
        <f>23826.3</f>
        <v>23826.3</v>
      </c>
      <c r="N192" s="26" t="s">
        <v>336</v>
      </c>
    </row>
    <row r="193" spans="1:18" s="7" customFormat="1" ht="45" customHeight="1" x14ac:dyDescent="0.2">
      <c r="A193" s="20">
        <v>55</v>
      </c>
      <c r="B193" s="65"/>
      <c r="C193" s="66" t="s">
        <v>145</v>
      </c>
      <c r="D193" s="66" t="s">
        <v>693</v>
      </c>
      <c r="E193" s="67" t="s">
        <v>694</v>
      </c>
      <c r="F193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93" s="68">
        <v>0.65</v>
      </c>
      <c r="H193" s="20" t="e">
        <f>DATEDIF(#REF!,#REF!,"y") &amp; " años " &amp; DATEDIF(#REF!,#REF!,"ym") &amp; " meses " &amp; DATEDIF(#REF!,#REF!,"md") &amp; " días"</f>
        <v>#REF!</v>
      </c>
      <c r="I193" s="20" t="e">
        <f>DATEDIF(#REF!,#REF!,"y") &amp; " años " &amp; DATEDIF(#REF!,#REF!,"ym") &amp; " meses " &amp; DATEDIF(#REF!,#REF!,"md") &amp; " días"</f>
        <v>#REF!</v>
      </c>
      <c r="J193" s="172"/>
      <c r="K193" s="179"/>
      <c r="L193" s="173"/>
      <c r="M193" s="69">
        <f>23826.29</f>
        <v>23826.29</v>
      </c>
      <c r="N193" s="26" t="s">
        <v>336</v>
      </c>
    </row>
    <row r="194" spans="1:18" s="7" customFormat="1" ht="45" customHeight="1" x14ac:dyDescent="0.25">
      <c r="A194" s="20">
        <v>56</v>
      </c>
      <c r="B194" s="20"/>
      <c r="C194" s="66" t="s">
        <v>149</v>
      </c>
      <c r="D194" s="66" t="s">
        <v>695</v>
      </c>
      <c r="E194" s="67" t="s">
        <v>696</v>
      </c>
      <c r="F194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94" s="68">
        <v>0.65</v>
      </c>
      <c r="H194" s="20" t="e">
        <f>DATEDIF(#REF!,#REF!,"y") &amp; " años " &amp; DATEDIF(#REF!,#REF!,"ym") &amp; " meses " &amp; DATEDIF(#REF!,#REF!,"md") &amp; " días"</f>
        <v>#REF!</v>
      </c>
      <c r="I194" s="20" t="e">
        <f>DATEDIF(#REF!,#REF!,"y") &amp; " años " &amp; DATEDIF(#REF!,#REF!,"ym") &amp; " meses " &amp; DATEDIF(#REF!,#REF!,"md") &amp; " días"</f>
        <v>#REF!</v>
      </c>
      <c r="J194" s="172"/>
      <c r="K194" s="179"/>
      <c r="L194" s="173"/>
      <c r="M194" s="69">
        <v>23826.3</v>
      </c>
      <c r="N194" s="26" t="s">
        <v>339</v>
      </c>
    </row>
    <row r="195" spans="1:18" s="7" customFormat="1" ht="45" customHeight="1" x14ac:dyDescent="0.25">
      <c r="A195" s="20">
        <v>57</v>
      </c>
      <c r="B195" s="67"/>
      <c r="C195" s="66" t="s">
        <v>149</v>
      </c>
      <c r="D195" s="66" t="s">
        <v>697</v>
      </c>
      <c r="E195" s="67" t="s">
        <v>698</v>
      </c>
      <c r="F195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95" s="68">
        <v>0.6</v>
      </c>
      <c r="H195" s="20" t="e">
        <f>DATEDIF(#REF!,#REF!,"y") &amp; " años " &amp; DATEDIF(#REF!,#REF!,"ym") &amp; " meses " &amp; DATEDIF(#REF!,#REF!,"md") &amp; " días"</f>
        <v>#REF!</v>
      </c>
      <c r="I195" s="20" t="e">
        <f>DATEDIF(#REF!,#REF!,"y") &amp; " años " &amp; DATEDIF(#REF!,#REF!,"ym") &amp; " meses " &amp; DATEDIF(#REF!,#REF!,"md") &amp; " días"</f>
        <v>#REF!</v>
      </c>
      <c r="J195" s="172"/>
      <c r="K195" s="179"/>
      <c r="L195" s="173"/>
      <c r="M195" s="69">
        <v>22588.39</v>
      </c>
      <c r="N195" s="26" t="s">
        <v>339</v>
      </c>
    </row>
    <row r="196" spans="1:18" s="7" customFormat="1" ht="45" customHeight="1" x14ac:dyDescent="0.25">
      <c r="A196" s="20">
        <v>58</v>
      </c>
      <c r="B196" s="67"/>
      <c r="C196" s="66" t="s">
        <v>699</v>
      </c>
      <c r="D196" s="66" t="s">
        <v>700</v>
      </c>
      <c r="E196" s="67" t="s">
        <v>701</v>
      </c>
      <c r="F196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96" s="68">
        <v>0.6</v>
      </c>
      <c r="H196" s="20" t="e">
        <f>DATEDIF(#REF!,#REF!,"y") &amp; " años " &amp; DATEDIF(#REF!,#REF!,"ym") &amp; " meses " &amp; DATEDIF(#REF!,#REF!,"md") &amp; " días"</f>
        <v>#REF!</v>
      </c>
      <c r="I196" s="20" t="e">
        <f>DATEDIF(#REF!,#REF!,"y") &amp; " años " &amp; DATEDIF(#REF!,#REF!,"ym") &amp; " meses " &amp; DATEDIF(#REF!,#REF!,"md") &amp; " días"</f>
        <v>#REF!</v>
      </c>
      <c r="J196" s="172"/>
      <c r="K196" s="179"/>
      <c r="L196" s="173"/>
      <c r="M196" s="69">
        <v>23826.3</v>
      </c>
      <c r="N196" s="26" t="s">
        <v>339</v>
      </c>
    </row>
    <row r="197" spans="1:18" s="7" customFormat="1" ht="45" customHeight="1" x14ac:dyDescent="0.25">
      <c r="A197" s="20">
        <v>59</v>
      </c>
      <c r="B197" s="20"/>
      <c r="C197" s="66" t="s">
        <v>176</v>
      </c>
      <c r="D197" s="66" t="s">
        <v>702</v>
      </c>
      <c r="E197" s="67" t="s">
        <v>703</v>
      </c>
      <c r="F197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97" s="68">
        <v>0.7</v>
      </c>
      <c r="H197" s="20" t="e">
        <f>DATEDIF(#REF!,#REF!,"y") &amp; " años " &amp; DATEDIF(#REF!,#REF!,"ym") &amp; " meses " &amp; DATEDIF(#REF!,#REF!,"md") &amp; " días"</f>
        <v>#REF!</v>
      </c>
      <c r="I197" s="20" t="e">
        <f>DATEDIF(#REF!,#REF!,"y") &amp; " años " &amp; DATEDIF(#REF!,#REF!,"ym") &amp; " meses " &amp; DATEDIF(#REF!,#REF!,"md") &amp; " días"</f>
        <v>#REF!</v>
      </c>
      <c r="J197" s="172"/>
      <c r="K197" s="179"/>
      <c r="L197" s="173"/>
      <c r="M197" s="69">
        <v>13050</v>
      </c>
      <c r="N197" s="26" t="s">
        <v>339</v>
      </c>
    </row>
    <row r="198" spans="1:18" s="7" customFormat="1" ht="45" customHeight="1" x14ac:dyDescent="0.2">
      <c r="A198" s="20">
        <v>60</v>
      </c>
      <c r="B198" s="65"/>
      <c r="C198" s="66" t="s">
        <v>704</v>
      </c>
      <c r="D198" s="66" t="s">
        <v>705</v>
      </c>
      <c r="E198" s="67" t="s">
        <v>706</v>
      </c>
      <c r="F198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98" s="68">
        <v>0.72499999999999998</v>
      </c>
      <c r="H198" s="20" t="e">
        <f>DATEDIF(#REF!,#REF!,"y") &amp; " años " &amp; DATEDIF(#REF!,#REF!,"ym") &amp; " meses " &amp; DATEDIF(#REF!,#REF!,"md") &amp; " días"</f>
        <v>#REF!</v>
      </c>
      <c r="I198" s="20"/>
      <c r="J198" s="172"/>
      <c r="K198" s="179"/>
      <c r="L198" s="173"/>
      <c r="M198" s="69">
        <f>17052.71</f>
        <v>17052.71</v>
      </c>
      <c r="N198" s="26" t="s">
        <v>336</v>
      </c>
    </row>
    <row r="199" spans="1:18" s="7" customFormat="1" ht="45" customHeight="1" x14ac:dyDescent="0.2">
      <c r="A199" s="20">
        <v>61</v>
      </c>
      <c r="B199" s="65"/>
      <c r="C199" s="66" t="s">
        <v>704</v>
      </c>
      <c r="D199" s="66" t="s">
        <v>707</v>
      </c>
      <c r="E199" s="67" t="s">
        <v>708</v>
      </c>
      <c r="F199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99" s="68">
        <v>0.72499999999999998</v>
      </c>
      <c r="H199" s="20" t="e">
        <f>DATEDIF(#REF!,#REF!,"y") &amp; " años " &amp; DATEDIF(#REF!,#REF!,"ym") &amp; " meses " &amp; DATEDIF(#REF!,#REF!,"md") &amp; " días"</f>
        <v>#REF!</v>
      </c>
      <c r="I199" s="20"/>
      <c r="J199" s="172"/>
      <c r="K199" s="179"/>
      <c r="L199" s="173"/>
      <c r="M199" s="69">
        <f>17052.71</f>
        <v>17052.71</v>
      </c>
      <c r="N199" s="26" t="s">
        <v>336</v>
      </c>
    </row>
    <row r="200" spans="1:18" s="7" customFormat="1" ht="45" customHeight="1" x14ac:dyDescent="0.2">
      <c r="A200" s="20">
        <v>62</v>
      </c>
      <c r="B200" s="65"/>
      <c r="C200" s="66" t="s">
        <v>704</v>
      </c>
      <c r="D200" s="66" t="s">
        <v>709</v>
      </c>
      <c r="E200" s="67" t="s">
        <v>710</v>
      </c>
      <c r="F200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00" s="68">
        <v>0.82499999999999996</v>
      </c>
      <c r="H200" s="20" t="e">
        <f>DATEDIF(#REF!,#REF!,"y") &amp; " años " &amp; DATEDIF(#REF!,#REF!,"ym") &amp; " meses " &amp; DATEDIF(#REF!,#REF!,"md") &amp; " días"</f>
        <v>#REF!</v>
      </c>
      <c r="I200" s="20"/>
      <c r="J200" s="172"/>
      <c r="K200" s="179"/>
      <c r="L200" s="173"/>
      <c r="M200" s="69">
        <f>17052.7</f>
        <v>17052.7</v>
      </c>
      <c r="N200" s="26" t="s">
        <v>336</v>
      </c>
    </row>
    <row r="201" spans="1:18" s="7" customFormat="1" ht="45" customHeight="1" x14ac:dyDescent="0.25">
      <c r="A201" s="20">
        <v>63</v>
      </c>
      <c r="B201" s="20"/>
      <c r="C201" s="66" t="s">
        <v>711</v>
      </c>
      <c r="D201" s="66" t="s">
        <v>712</v>
      </c>
      <c r="E201" s="67" t="s">
        <v>713</v>
      </c>
      <c r="F201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01" s="68">
        <v>0.91</v>
      </c>
      <c r="H201" s="20" t="e">
        <f>DATEDIF(#REF!,#REF!,"y") &amp; " años " &amp; DATEDIF(#REF!,#REF!,"ym") &amp; " meses " &amp; DATEDIF(#REF!,#REF!,"md") &amp; " días"</f>
        <v>#REF!</v>
      </c>
      <c r="I201" s="20"/>
      <c r="J201" s="172"/>
      <c r="K201" s="179"/>
      <c r="L201" s="173"/>
      <c r="M201" s="69">
        <f>12500</f>
        <v>12500</v>
      </c>
      <c r="N201" s="26" t="s">
        <v>336</v>
      </c>
    </row>
    <row r="202" spans="1:18" s="7" customFormat="1" ht="45" customHeight="1" x14ac:dyDescent="0.25">
      <c r="A202" s="20">
        <v>64</v>
      </c>
      <c r="B202" s="20"/>
      <c r="C202" s="66" t="s">
        <v>300</v>
      </c>
      <c r="D202" s="66" t="s">
        <v>714</v>
      </c>
      <c r="E202" s="67" t="s">
        <v>715</v>
      </c>
      <c r="F202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02" s="68">
        <v>0.72499999999999998</v>
      </c>
      <c r="H202" s="20" t="e">
        <f>DATEDIF(#REF!,#REF!,"y") &amp; " años " &amp; DATEDIF(#REF!,#REF!,"ym") &amp; " meses " &amp; DATEDIF(#REF!,#REF!,"md") &amp; " días"</f>
        <v>#REF!</v>
      </c>
      <c r="I202" s="20"/>
      <c r="J202" s="172"/>
      <c r="K202" s="179"/>
      <c r="L202" s="173"/>
      <c r="M202" s="69">
        <v>12500</v>
      </c>
      <c r="N202" s="26" t="s">
        <v>336</v>
      </c>
    </row>
    <row r="203" spans="1:18" s="7" customFormat="1" ht="45" customHeight="1" x14ac:dyDescent="0.25">
      <c r="A203" s="20">
        <v>65</v>
      </c>
      <c r="B203" s="20"/>
      <c r="C203" s="66" t="s">
        <v>230</v>
      </c>
      <c r="D203" s="66" t="s">
        <v>716</v>
      </c>
      <c r="E203" s="67" t="s">
        <v>717</v>
      </c>
      <c r="F203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03" s="68">
        <v>1</v>
      </c>
      <c r="H203" s="20" t="e">
        <f>DATEDIF(#REF!,#REF!,"y") &amp; " años " &amp; DATEDIF(#REF!,#REF!,"ym") &amp; " meses " &amp; DATEDIF(#REF!,#REF!,"md") &amp; " días"</f>
        <v>#REF!</v>
      </c>
      <c r="I203" s="20"/>
      <c r="J203" s="172"/>
      <c r="K203" s="179"/>
      <c r="L203" s="173"/>
      <c r="M203" s="69">
        <v>12500</v>
      </c>
      <c r="N203" s="26" t="s">
        <v>338</v>
      </c>
    </row>
    <row r="205" spans="1:18" x14ac:dyDescent="0.2">
      <c r="A205" s="168" t="s">
        <v>234</v>
      </c>
      <c r="B205" s="168"/>
      <c r="C205" s="168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6"/>
      <c r="P205" s="6"/>
      <c r="Q205" s="6"/>
      <c r="R205" s="6"/>
    </row>
    <row r="206" spans="1:18" s="19" customFormat="1" ht="25.5" x14ac:dyDescent="0.2">
      <c r="A206" s="8" t="s">
        <v>4</v>
      </c>
      <c r="B206" s="8" t="s">
        <v>5</v>
      </c>
      <c r="C206" s="9" t="s">
        <v>6</v>
      </c>
      <c r="D206" s="9" t="s">
        <v>7</v>
      </c>
      <c r="E206" s="63" t="s">
        <v>8</v>
      </c>
      <c r="F206" s="64" t="s">
        <v>9</v>
      </c>
      <c r="G206" s="10" t="s">
        <v>10</v>
      </c>
      <c r="H206" s="9" t="s">
        <v>11</v>
      </c>
      <c r="I206" s="11" t="s">
        <v>12</v>
      </c>
      <c r="J206" s="166" t="s">
        <v>13</v>
      </c>
      <c r="K206" s="180"/>
      <c r="L206" s="167"/>
      <c r="M206" s="12" t="s">
        <v>14</v>
      </c>
      <c r="N206" s="13" t="s">
        <v>335</v>
      </c>
    </row>
    <row r="207" spans="1:18" s="7" customFormat="1" ht="45" customHeight="1" x14ac:dyDescent="0.25">
      <c r="A207" s="20">
        <v>1</v>
      </c>
      <c r="B207" s="20"/>
      <c r="C207" s="66" t="s">
        <v>341</v>
      </c>
      <c r="D207" s="66" t="s">
        <v>718</v>
      </c>
      <c r="E207" s="67" t="s">
        <v>719</v>
      </c>
      <c r="F207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07" s="68">
        <v>1</v>
      </c>
      <c r="H207" s="20" t="e">
        <f>DATEDIF(#REF!,#REF!,"y") &amp; " años " &amp; DATEDIF(#REF!,#REF!,"ym") &amp; " meses " &amp; DATEDIF(#REF!,#REF!,"md") &amp; " días"</f>
        <v>#REF!</v>
      </c>
      <c r="I207" s="20" t="e">
        <f>DATEDIF(#REF!,#REF!,"y") &amp; " años " &amp; DATEDIF(#REF!,#REF!,"ym") &amp; " meses " &amp; DATEDIF(#REF!,#REF!,"md") &amp; " días"</f>
        <v>#REF!</v>
      </c>
      <c r="J207" s="172"/>
      <c r="K207" s="179"/>
      <c r="L207" s="173"/>
      <c r="M207" s="69">
        <v>70000</v>
      </c>
      <c r="N207" s="26" t="s">
        <v>336</v>
      </c>
    </row>
    <row r="208" spans="1:18" s="7" customFormat="1" ht="45" customHeight="1" x14ac:dyDescent="0.25">
      <c r="A208" s="20">
        <v>2</v>
      </c>
      <c r="B208" s="20"/>
      <c r="C208" s="66" t="s">
        <v>341</v>
      </c>
      <c r="D208" s="66" t="s">
        <v>720</v>
      </c>
      <c r="E208" s="67" t="s">
        <v>721</v>
      </c>
      <c r="F208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08" s="68">
        <v>1</v>
      </c>
      <c r="H208" s="20" t="e">
        <f>DATEDIF(#REF!,#REF!,"y") &amp; " años " &amp; DATEDIF(#REF!,#REF!,"ym") &amp; " meses " &amp; DATEDIF(#REF!,#REF!,"md") &amp; " días"</f>
        <v>#REF!</v>
      </c>
      <c r="I208" s="20" t="e">
        <f>DATEDIF(#REF!,#REF!,"y") &amp; " años " &amp; DATEDIF(#REF!,#REF!,"ym") &amp; " meses " &amp; DATEDIF(#REF!,#REF!,"md") &amp; " días"</f>
        <v>#REF!</v>
      </c>
      <c r="J208" s="172"/>
      <c r="K208" s="179"/>
      <c r="L208" s="173"/>
      <c r="M208" s="69">
        <v>70000</v>
      </c>
      <c r="N208" s="26" t="s">
        <v>336</v>
      </c>
    </row>
    <row r="209" spans="1:14" s="7" customFormat="1" ht="45" customHeight="1" x14ac:dyDescent="0.25">
      <c r="A209" s="20">
        <v>3</v>
      </c>
      <c r="B209" s="20"/>
      <c r="C209" s="66" t="s">
        <v>341</v>
      </c>
      <c r="D209" s="66" t="s">
        <v>722</v>
      </c>
      <c r="E209" s="67" t="s">
        <v>723</v>
      </c>
      <c r="F209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09" s="68">
        <v>0.91</v>
      </c>
      <c r="H209" s="20" t="e">
        <f>DATEDIF(#REF!,#REF!,"y") &amp; " años " &amp; DATEDIF(#REF!,#REF!,"ym") &amp; " meses " &amp; DATEDIF(#REF!,#REF!,"md") &amp; " días"</f>
        <v>#REF!</v>
      </c>
      <c r="I209" s="20" t="e">
        <f>DATEDIF(#REF!,#REF!,"y") &amp; " años " &amp; DATEDIF(#REF!,#REF!,"ym") &amp; " meses " &amp; DATEDIF(#REF!,#REF!,"md") &amp; " días"</f>
        <v>#REF!</v>
      </c>
      <c r="J209" s="172"/>
      <c r="K209" s="179"/>
      <c r="L209" s="173"/>
      <c r="M209" s="69">
        <v>120000</v>
      </c>
      <c r="N209" s="26" t="s">
        <v>336</v>
      </c>
    </row>
    <row r="210" spans="1:14" s="7" customFormat="1" ht="45" customHeight="1" x14ac:dyDescent="0.25">
      <c r="A210" s="20">
        <v>4</v>
      </c>
      <c r="B210" s="20"/>
      <c r="C210" s="66" t="s">
        <v>341</v>
      </c>
      <c r="D210" s="66" t="s">
        <v>724</v>
      </c>
      <c r="E210" s="67" t="s">
        <v>725</v>
      </c>
      <c r="F210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10" s="68">
        <v>1</v>
      </c>
      <c r="H210" s="20" t="e">
        <f>DATEDIF(#REF!,#REF!,"y") &amp; " años " &amp; DATEDIF(#REF!,#REF!,"ym") &amp; " meses " &amp; DATEDIF(#REF!,#REF!,"md") &amp; " días"</f>
        <v>#REF!</v>
      </c>
      <c r="I210" s="20" t="e">
        <f>DATEDIF(#REF!,#REF!,"y") &amp; " años " &amp; DATEDIF(#REF!,#REF!,"ym") &amp; " meses " &amp; DATEDIF(#REF!,#REF!,"md") &amp; " días"</f>
        <v>#REF!</v>
      </c>
      <c r="J210" s="172"/>
      <c r="K210" s="179"/>
      <c r="L210" s="173"/>
      <c r="M210" s="69">
        <v>120000</v>
      </c>
      <c r="N210" s="26" t="s">
        <v>336</v>
      </c>
    </row>
    <row r="211" spans="1:14" s="7" customFormat="1" ht="45" customHeight="1" x14ac:dyDescent="0.25">
      <c r="A211" s="20">
        <v>5</v>
      </c>
      <c r="B211" s="20"/>
      <c r="C211" s="66" t="s">
        <v>341</v>
      </c>
      <c r="D211" s="66" t="s">
        <v>726</v>
      </c>
      <c r="E211" s="67" t="s">
        <v>727</v>
      </c>
      <c r="F211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11" s="68">
        <v>1</v>
      </c>
      <c r="H211" s="20" t="e">
        <f>DATEDIF(#REF!,#REF!,"y") &amp; " años " &amp; DATEDIF(#REF!,#REF!,"ym") &amp; " meses " &amp; DATEDIF(#REF!,#REF!,"md") &amp; " días"</f>
        <v>#REF!</v>
      </c>
      <c r="I211" s="20" t="e">
        <f>DATEDIF(#REF!,#REF!,"y") &amp; " años " &amp; DATEDIF(#REF!,#REF!,"ym") &amp; " meses " &amp; DATEDIF(#REF!,#REF!,"md") &amp; " días"</f>
        <v>#REF!</v>
      </c>
      <c r="J211" s="172"/>
      <c r="K211" s="179"/>
      <c r="L211" s="173"/>
      <c r="M211" s="69">
        <v>70000</v>
      </c>
      <c r="N211" s="26" t="s">
        <v>336</v>
      </c>
    </row>
    <row r="212" spans="1:14" s="7" customFormat="1" ht="45" customHeight="1" x14ac:dyDescent="0.25">
      <c r="A212" s="20">
        <v>6</v>
      </c>
      <c r="B212" s="20"/>
      <c r="C212" s="66" t="s">
        <v>341</v>
      </c>
      <c r="D212" s="66" t="s">
        <v>728</v>
      </c>
      <c r="E212" s="67" t="s">
        <v>729</v>
      </c>
      <c r="F212" s="25" t="e">
        <f>DATEDIF(#REF!,#REF!,"y") + DATEDIF(#REF!,#REF!,"y") + DATEDIF(#REF!,#REF!,"y")  + DATEDIF(#REF!,#REF!,"y")+ SUM(#REF!) &amp; " años " &amp; DATEDIF(#REF!,#REF!,"ym") + DATEDIF(#REF!,#REF!,"ym") + DATEDIF(#REF!,#REF!,"ym")  + DATEDIF(#REF!,#REF!,"ym") + SUM(#REF!) - SUM(#REF!) &amp; " meses " &amp; DATEDIF(#REF!,#REF!,"md") + DATEDIF(#REF!,#REF!,"md") + DATEDIF(#REF!,#REF!,"md")  + DATEDIF(#REF!,#REF!,"md") - SUM(#REF!) &amp; " días"</f>
        <v>#REF!</v>
      </c>
      <c r="G212" s="68">
        <v>1</v>
      </c>
      <c r="H212" s="20" t="e">
        <f>DATEDIF(#REF!,#REF!,"y") &amp; " años " &amp; DATEDIF(#REF!,#REF!,"ym") &amp; " meses " &amp; DATEDIF(#REF!,#REF!,"md") &amp; " días"</f>
        <v>#REF!</v>
      </c>
      <c r="I212" s="20" t="e">
        <f>DATEDIF(#REF!,#REF!,"y") &amp; " años " &amp; DATEDIF(#REF!,#REF!,"ym") &amp; " meses " &amp; DATEDIF(#REF!,#REF!,"md") &amp; " días"</f>
        <v>#REF!</v>
      </c>
      <c r="J212" s="172"/>
      <c r="K212" s="179"/>
      <c r="L212" s="173"/>
      <c r="M212" s="69">
        <f>46487.03+25000</f>
        <v>71487.03</v>
      </c>
      <c r="N212" s="26" t="s">
        <v>336</v>
      </c>
    </row>
    <row r="213" spans="1:14" s="7" customFormat="1" ht="45" customHeight="1" x14ac:dyDescent="0.25">
      <c r="A213" s="20">
        <v>7</v>
      </c>
      <c r="B213" s="20"/>
      <c r="C213" s="66" t="s">
        <v>341</v>
      </c>
      <c r="D213" s="66" t="s">
        <v>730</v>
      </c>
      <c r="E213" s="67" t="s">
        <v>731</v>
      </c>
      <c r="F213" s="25" t="e">
        <f>DATEDIF(#REF!,#REF!,"y") + DATEDIF(#REF!,#REF!,"y") + DATEDIF(#REF!,#REF!,"y")  + DATEDIF(#REF!,#REF!,"y")+ SUM(#REF!) &amp; " años " &amp; DATEDIF(#REF!,#REF!,"ym") + DATEDIF(#REF!,#REF!,"ym") + DATEDIF(#REF!,#REF!,"ym")  + DATEDIF(#REF!,#REF!,"ym") + SUM(#REF!) - SUM(#REF!) &amp; " meses " &amp; DATEDIF(#REF!,#REF!,"md") + DATEDIF(#REF!,#REF!,"md") + DATEDIF(#REF!,#REF!,"md")  + DATEDIF(#REF!,#REF!,"md") - SUM(#REF!) &amp; " días"</f>
        <v>#REF!</v>
      </c>
      <c r="G213" s="68">
        <v>0.65</v>
      </c>
      <c r="H213" s="20" t="e">
        <f>DATEDIF(#REF!,#REF!,"y") &amp; " años " &amp; DATEDIF(#REF!,#REF!,"ym") &amp; " meses " &amp; DATEDIF(#REF!,#REF!,"md") &amp; " días"</f>
        <v>#REF!</v>
      </c>
      <c r="I213" s="20" t="e">
        <f>DATEDIF(#REF!,#REF!,"y") &amp; " años " &amp; DATEDIF(#REF!,#REF!,"ym") &amp; " meses " &amp; DATEDIF(#REF!,#REF!,"md") &amp; " días"</f>
        <v>#REF!</v>
      </c>
      <c r="J213" s="172"/>
      <c r="K213" s="179"/>
      <c r="L213" s="173"/>
      <c r="M213" s="69">
        <v>70000</v>
      </c>
      <c r="N213" s="26" t="s">
        <v>336</v>
      </c>
    </row>
    <row r="214" spans="1:14" s="7" customFormat="1" ht="45" customHeight="1" x14ac:dyDescent="0.25">
      <c r="A214" s="20">
        <v>8</v>
      </c>
      <c r="B214" s="20"/>
      <c r="C214" s="66" t="s">
        <v>341</v>
      </c>
      <c r="D214" s="66" t="s">
        <v>732</v>
      </c>
      <c r="E214" s="67" t="s">
        <v>733</v>
      </c>
      <c r="F214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14" s="68">
        <v>1</v>
      </c>
      <c r="H214" s="20" t="e">
        <f>DATEDIF(#REF!,#REF!,"y") &amp; " años " &amp; DATEDIF(#REF!,#REF!,"ym") &amp; " meses " &amp; DATEDIF(#REF!,#REF!,"md") &amp; " días"</f>
        <v>#REF!</v>
      </c>
      <c r="I214" s="20" t="e">
        <f>DATEDIF(#REF!,#REF!,"y") &amp; " años " &amp; DATEDIF(#REF!,#REF!,"ym") &amp; " meses " &amp; DATEDIF(#REF!,#REF!,"md") &amp; " días"</f>
        <v>#REF!</v>
      </c>
      <c r="J214" s="172"/>
      <c r="K214" s="179"/>
      <c r="L214" s="173"/>
      <c r="M214" s="69">
        <v>70000</v>
      </c>
      <c r="N214" s="26" t="s">
        <v>336</v>
      </c>
    </row>
    <row r="215" spans="1:14" s="7" customFormat="1" ht="45" customHeight="1" x14ac:dyDescent="0.25">
      <c r="A215" s="20">
        <v>9</v>
      </c>
      <c r="B215" s="20"/>
      <c r="C215" s="66" t="s">
        <v>39</v>
      </c>
      <c r="D215" s="66" t="s">
        <v>734</v>
      </c>
      <c r="E215" s="67" t="s">
        <v>735</v>
      </c>
      <c r="F215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15" s="68">
        <v>1</v>
      </c>
      <c r="H215" s="20" t="e">
        <f>DATEDIF(#REF!,#REF!,"y") &amp; " años " &amp; DATEDIF(#REF!,#REF!,"ym") &amp; " meses " &amp; DATEDIF(#REF!,#REF!,"md") &amp; " días"</f>
        <v>#REF!</v>
      </c>
      <c r="I215" s="20" t="e">
        <f>DATEDIF(#REF!,#REF!,"y") &amp; " años " &amp; DATEDIF(#REF!,#REF!,"ym") &amp; " meses " &amp; DATEDIF(#REF!,#REF!,"md") &amp; " días"</f>
        <v>#REF!</v>
      </c>
      <c r="J215" s="172"/>
      <c r="K215" s="179"/>
      <c r="L215" s="173"/>
      <c r="M215" s="69">
        <v>60000</v>
      </c>
      <c r="N215" s="26" t="s">
        <v>336</v>
      </c>
    </row>
    <row r="216" spans="1:14" s="7" customFormat="1" ht="45" customHeight="1" x14ac:dyDescent="0.25">
      <c r="A216" s="20">
        <v>10</v>
      </c>
      <c r="B216" s="20"/>
      <c r="C216" s="66" t="s">
        <v>39</v>
      </c>
      <c r="D216" s="66" t="s">
        <v>736</v>
      </c>
      <c r="E216" s="67" t="s">
        <v>737</v>
      </c>
      <c r="F216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16" s="68">
        <v>1</v>
      </c>
      <c r="H216" s="20" t="e">
        <f>DATEDIF(#REF!,#REF!,"y") &amp; " años " &amp; DATEDIF(#REF!,#REF!,"ym") &amp; " meses " &amp; DATEDIF(#REF!,#REF!,"md") &amp; " días"</f>
        <v>#REF!</v>
      </c>
      <c r="I216" s="20" t="e">
        <f>DATEDIF(#REF!,#REF!,"y") &amp; " años " &amp; DATEDIF(#REF!,#REF!,"ym") &amp; " meses " &amp; DATEDIF(#REF!,#REF!,"md") &amp; " días"</f>
        <v>#REF!</v>
      </c>
      <c r="J216" s="172"/>
      <c r="K216" s="179"/>
      <c r="L216" s="173"/>
      <c r="M216" s="69">
        <v>70000</v>
      </c>
      <c r="N216" s="26" t="s">
        <v>336</v>
      </c>
    </row>
    <row r="217" spans="1:14" s="7" customFormat="1" ht="45" customHeight="1" x14ac:dyDescent="0.25">
      <c r="A217" s="20">
        <v>11</v>
      </c>
      <c r="B217" s="20"/>
      <c r="C217" s="66" t="s">
        <v>39</v>
      </c>
      <c r="D217" s="66" t="s">
        <v>738</v>
      </c>
      <c r="E217" s="67" t="s">
        <v>739</v>
      </c>
      <c r="F217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17" s="68">
        <v>0.82499999999999996</v>
      </c>
      <c r="H217" s="20" t="e">
        <f>DATEDIF(#REF!,#REF!,"y") &amp; " años " &amp; DATEDIF(#REF!,#REF!,"ym") &amp; " meses " &amp; DATEDIF(#REF!,#REF!,"md") &amp; " días"</f>
        <v>#REF!</v>
      </c>
      <c r="I217" s="20" t="e">
        <f>DATEDIF(#REF!,#REF!,"y") &amp; " años " &amp; DATEDIF(#REF!,#REF!,"ym") &amp; " meses " &amp; DATEDIF(#REF!,#REF!,"md") &amp; " días"</f>
        <v>#REF!</v>
      </c>
      <c r="J217" s="172"/>
      <c r="K217" s="179"/>
      <c r="L217" s="173"/>
      <c r="M217" s="69">
        <f>38187.54</f>
        <v>38187.54</v>
      </c>
      <c r="N217" s="26" t="s">
        <v>336</v>
      </c>
    </row>
    <row r="218" spans="1:14" s="7" customFormat="1" ht="45" customHeight="1" x14ac:dyDescent="0.25">
      <c r="A218" s="20">
        <v>12</v>
      </c>
      <c r="B218" s="20"/>
      <c r="C218" s="66" t="s">
        <v>39</v>
      </c>
      <c r="D218" s="66" t="s">
        <v>740</v>
      </c>
      <c r="E218" s="67" t="s">
        <v>741</v>
      </c>
      <c r="F218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18" s="68">
        <v>1</v>
      </c>
      <c r="H218" s="20" t="e">
        <f>DATEDIF(#REF!,#REF!,"y") &amp; " años " &amp; DATEDIF(#REF!,#REF!,"ym") &amp; " meses " &amp; DATEDIF(#REF!,#REF!,"md") &amp; " días"</f>
        <v>#REF!</v>
      </c>
      <c r="I218" s="20" t="e">
        <f>DATEDIF(#REF!,#REF!,"y") &amp; " años " &amp; DATEDIF(#REF!,#REF!,"ym") &amp; " meses " &amp; DATEDIF(#REF!,#REF!,"md") &amp; " días"</f>
        <v>#REF!</v>
      </c>
      <c r="J218" s="172"/>
      <c r="K218" s="179"/>
      <c r="L218" s="173"/>
      <c r="M218" s="69">
        <v>60000</v>
      </c>
      <c r="N218" s="26" t="s">
        <v>336</v>
      </c>
    </row>
    <row r="219" spans="1:14" s="7" customFormat="1" ht="45" customHeight="1" x14ac:dyDescent="0.25">
      <c r="A219" s="20">
        <v>13</v>
      </c>
      <c r="B219" s="20"/>
      <c r="C219" s="66" t="s">
        <v>39</v>
      </c>
      <c r="D219" s="66" t="s">
        <v>742</v>
      </c>
      <c r="E219" s="67" t="s">
        <v>743</v>
      </c>
      <c r="F219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19" s="68">
        <v>1</v>
      </c>
      <c r="H219" s="20" t="e">
        <f>DATEDIF(#REF!,#REF!,"y") &amp; " años " &amp; DATEDIF(#REF!,#REF!,"ym") &amp; " meses " &amp; DATEDIF(#REF!,#REF!,"md") &amp; " días"</f>
        <v>#REF!</v>
      </c>
      <c r="I219" s="20" t="e">
        <f>DATEDIF(#REF!,#REF!,"y") &amp; " años " &amp; DATEDIF(#REF!,#REF!,"ym") &amp; " meses " &amp; DATEDIF(#REF!,#REF!,"md") &amp; " días"</f>
        <v>#REF!</v>
      </c>
      <c r="J219" s="172"/>
      <c r="K219" s="179"/>
      <c r="L219" s="173"/>
      <c r="M219" s="69">
        <v>33637.53</v>
      </c>
      <c r="N219" s="26" t="s">
        <v>336</v>
      </c>
    </row>
    <row r="220" spans="1:14" s="7" customFormat="1" ht="45" customHeight="1" x14ac:dyDescent="0.25">
      <c r="A220" s="20">
        <v>14</v>
      </c>
      <c r="B220" s="20"/>
      <c r="C220" s="66" t="s">
        <v>39</v>
      </c>
      <c r="D220" s="66" t="s">
        <v>744</v>
      </c>
      <c r="E220" s="67" t="s">
        <v>745</v>
      </c>
      <c r="F220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20" s="68">
        <v>0.72499999999999998</v>
      </c>
      <c r="H220" s="20" t="e">
        <f>DATEDIF(#REF!,#REF!,"y") &amp; " años " &amp; DATEDIF(#REF!,#REF!,"ym") &amp; " meses " &amp; DATEDIF(#REF!,#REF!,"md") &amp; " días"</f>
        <v>#REF!</v>
      </c>
      <c r="I220" s="20" t="e">
        <f>DATEDIF(#REF!,#REF!,"y") &amp; " años " &amp; DATEDIF(#REF!,#REF!,"ym") &amp; " meses " &amp; DATEDIF(#REF!,#REF!,"md") &amp; " días"</f>
        <v>#REF!</v>
      </c>
      <c r="J220" s="172"/>
      <c r="K220" s="179"/>
      <c r="L220" s="173"/>
      <c r="M220" s="69">
        <v>90000</v>
      </c>
      <c r="N220" s="26" t="s">
        <v>336</v>
      </c>
    </row>
    <row r="221" spans="1:14" s="7" customFormat="1" ht="45" customHeight="1" x14ac:dyDescent="0.25">
      <c r="A221" s="20">
        <v>15</v>
      </c>
      <c r="B221" s="20"/>
      <c r="C221" s="66" t="s">
        <v>39</v>
      </c>
      <c r="D221" s="66" t="s">
        <v>746</v>
      </c>
      <c r="E221" s="67" t="s">
        <v>747</v>
      </c>
      <c r="F221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21" s="68">
        <v>1</v>
      </c>
      <c r="H221" s="20" t="e">
        <f>DATEDIF(#REF!,#REF!,"y") &amp; " años " &amp; DATEDIF(#REF!,#REF!,"ym") &amp; " meses " &amp; DATEDIF(#REF!,#REF!,"md") &amp; " días"</f>
        <v>#REF!</v>
      </c>
      <c r="I221" s="20" t="e">
        <f>DATEDIF(#REF!,#REF!,"y") &amp; " años " &amp; DATEDIF(#REF!,#REF!,"ym") &amp; " meses " &amp; DATEDIF(#REF!,#REF!,"md") &amp; " días"</f>
        <v>#REF!</v>
      </c>
      <c r="J221" s="172"/>
      <c r="K221" s="179"/>
      <c r="L221" s="173"/>
      <c r="M221" s="69">
        <v>90000</v>
      </c>
      <c r="N221" s="26" t="s">
        <v>336</v>
      </c>
    </row>
    <row r="222" spans="1:14" s="7" customFormat="1" ht="45" customHeight="1" x14ac:dyDescent="0.25">
      <c r="A222" s="20">
        <v>16</v>
      </c>
      <c r="B222" s="20"/>
      <c r="C222" s="66" t="s">
        <v>49</v>
      </c>
      <c r="D222" s="66" t="s">
        <v>748</v>
      </c>
      <c r="E222" s="67" t="s">
        <v>749</v>
      </c>
      <c r="F222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22" s="68">
        <v>1</v>
      </c>
      <c r="H222" s="20" t="e">
        <f>DATEDIF(#REF!,#REF!,"y") &amp; " años " &amp; DATEDIF(#REF!,#REF!,"ym") &amp; " meses " &amp; DATEDIF(#REF!,#REF!,"md") &amp; " días"</f>
        <v>#REF!</v>
      </c>
      <c r="I222" s="20" t="e">
        <f>DATEDIF(#REF!,#REF!,"y") &amp; " años " &amp; DATEDIF(#REF!,#REF!,"ym") &amp; " meses " &amp; DATEDIF(#REF!,#REF!,"md") &amp; " días"</f>
        <v>#REF!</v>
      </c>
      <c r="J222" s="172"/>
      <c r="K222" s="179"/>
      <c r="L222" s="173"/>
      <c r="M222" s="69">
        <v>29343.32</v>
      </c>
      <c r="N222" s="26" t="s">
        <v>336</v>
      </c>
    </row>
    <row r="223" spans="1:14" s="7" customFormat="1" ht="45" customHeight="1" x14ac:dyDescent="0.25">
      <c r="A223" s="20">
        <v>17</v>
      </c>
      <c r="B223" s="20"/>
      <c r="C223" s="66" t="s">
        <v>49</v>
      </c>
      <c r="D223" s="66" t="s">
        <v>750</v>
      </c>
      <c r="E223" s="67" t="s">
        <v>751</v>
      </c>
      <c r="F223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23" s="68">
        <v>1</v>
      </c>
      <c r="H223" s="20" t="e">
        <f>DATEDIF(#REF!,#REF!,"y") &amp; " años " &amp; DATEDIF(#REF!,#REF!,"ym") &amp; " meses " &amp; DATEDIF(#REF!,#REF!,"md") &amp; " días"</f>
        <v>#REF!</v>
      </c>
      <c r="I223" s="20" t="e">
        <f>DATEDIF(#REF!,#REF!,"y") &amp; " años " &amp; DATEDIF(#REF!,#REF!,"ym") &amp; " meses " &amp; DATEDIF(#REF!,#REF!,"md") &amp; " días"</f>
        <v>#REF!</v>
      </c>
      <c r="J223" s="172"/>
      <c r="K223" s="179"/>
      <c r="L223" s="173"/>
      <c r="M223" s="69">
        <f>33637.53</f>
        <v>33637.53</v>
      </c>
      <c r="N223" s="26" t="s">
        <v>336</v>
      </c>
    </row>
    <row r="224" spans="1:14" s="7" customFormat="1" ht="45" customHeight="1" x14ac:dyDescent="0.25">
      <c r="A224" s="20">
        <v>18</v>
      </c>
      <c r="B224" s="20"/>
      <c r="C224" s="66" t="s">
        <v>49</v>
      </c>
      <c r="D224" s="66" t="s">
        <v>752</v>
      </c>
      <c r="E224" s="67" t="s">
        <v>753</v>
      </c>
      <c r="F224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24" s="68">
        <v>0.625</v>
      </c>
      <c r="H224" s="20" t="e">
        <f>DATEDIF(#REF!,#REF!,"y") &amp; " años " &amp; DATEDIF(#REF!,#REF!,"ym") &amp; " meses " &amp; DATEDIF(#REF!,#REF!,"md") &amp; " días"</f>
        <v>#REF!</v>
      </c>
      <c r="I224" s="20" t="e">
        <f>DATEDIF(#REF!,#REF!,"y") &amp; " años " &amp; DATEDIF(#REF!,#REF!,"ym") &amp; " meses " &amp; DATEDIF(#REF!,#REF!,"md") &amp; " días"</f>
        <v>#REF!</v>
      </c>
      <c r="J224" s="172"/>
      <c r="K224" s="179"/>
      <c r="L224" s="173"/>
      <c r="M224" s="69">
        <v>60000</v>
      </c>
      <c r="N224" s="26" t="s">
        <v>336</v>
      </c>
    </row>
    <row r="225" spans="1:14" s="7" customFormat="1" ht="45" customHeight="1" x14ac:dyDescent="0.25">
      <c r="A225" s="20">
        <v>19</v>
      </c>
      <c r="B225" s="20"/>
      <c r="C225" s="66" t="s">
        <v>49</v>
      </c>
      <c r="D225" s="66" t="s">
        <v>754</v>
      </c>
      <c r="E225" s="67" t="s">
        <v>755</v>
      </c>
      <c r="F225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25" s="68">
        <v>0.8</v>
      </c>
      <c r="H225" s="20" t="e">
        <f>DATEDIF(#REF!,#REF!,"y") &amp; " años " &amp; DATEDIF(#REF!,#REF!,"ym") &amp; " meses " &amp; DATEDIF(#REF!,#REF!,"md") &amp; " días"</f>
        <v>#REF!</v>
      </c>
      <c r="I225" s="20" t="e">
        <f>DATEDIF(#REF!,#REF!,"y") &amp; " años " &amp; DATEDIF(#REF!,#REF!,"ym") &amp; " meses " &amp; DATEDIF(#REF!,#REF!,"md") &amp; " días"</f>
        <v>#REF!</v>
      </c>
      <c r="J225" s="172"/>
      <c r="K225" s="179"/>
      <c r="L225" s="173"/>
      <c r="M225" s="69">
        <f>29343.31+12000</f>
        <v>41343.31</v>
      </c>
      <c r="N225" s="26" t="s">
        <v>336</v>
      </c>
    </row>
    <row r="226" spans="1:14" s="7" customFormat="1" ht="45" customHeight="1" x14ac:dyDescent="0.25">
      <c r="A226" s="20">
        <v>20</v>
      </c>
      <c r="B226" s="20"/>
      <c r="C226" s="66" t="s">
        <v>49</v>
      </c>
      <c r="D226" s="66" t="s">
        <v>756</v>
      </c>
      <c r="E226" s="67" t="s">
        <v>757</v>
      </c>
      <c r="F226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26" s="68">
        <v>1</v>
      </c>
      <c r="H226" s="20" t="e">
        <f>DATEDIF(#REF!,#REF!,"y") &amp; " años " &amp; DATEDIF(#REF!,#REF!,"ym") &amp; " meses " &amp; DATEDIF(#REF!,#REF!,"md") &amp; " días"</f>
        <v>#REF!</v>
      </c>
      <c r="I226" s="20" t="e">
        <f>DATEDIF(#REF!,#REF!,"y") &amp; " años " &amp; DATEDIF(#REF!,#REF!,"ym") &amp; " meses " &amp; DATEDIF(#REF!,#REF!,"md") &amp; " días"</f>
        <v>#REF!</v>
      </c>
      <c r="J226" s="172"/>
      <c r="K226" s="179"/>
      <c r="L226" s="173"/>
      <c r="M226" s="69">
        <f>33637.53</f>
        <v>33637.53</v>
      </c>
      <c r="N226" s="26" t="s">
        <v>336</v>
      </c>
    </row>
    <row r="227" spans="1:14" s="7" customFormat="1" ht="45" customHeight="1" x14ac:dyDescent="0.25">
      <c r="A227" s="20">
        <v>21</v>
      </c>
      <c r="B227" s="20"/>
      <c r="C227" s="66" t="s">
        <v>56</v>
      </c>
      <c r="D227" s="66" t="s">
        <v>758</v>
      </c>
      <c r="E227" s="67" t="s">
        <v>759</v>
      </c>
      <c r="F227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27" s="68">
        <v>1</v>
      </c>
      <c r="H227" s="20" t="e">
        <f>DATEDIF(#REF!,#REF!,"y") &amp; " años " &amp; DATEDIF(#REF!,#REF!,"ym") &amp; " meses " &amp; DATEDIF(#REF!,#REF!,"md") &amp; " días"</f>
        <v>#REF!</v>
      </c>
      <c r="I227" s="20" t="e">
        <f>DATEDIF(#REF!,#REF!,"y") &amp; " años " &amp; DATEDIF(#REF!,#REF!,"ym") &amp; " meses " &amp; DATEDIF(#REF!,#REF!,"md") &amp; " días"</f>
        <v>#REF!</v>
      </c>
      <c r="J227" s="172"/>
      <c r="K227" s="179"/>
      <c r="L227" s="173"/>
      <c r="M227" s="69">
        <f>29343.32</f>
        <v>29343.32</v>
      </c>
      <c r="N227" s="26" t="s">
        <v>336</v>
      </c>
    </row>
    <row r="228" spans="1:14" s="7" customFormat="1" ht="45" customHeight="1" x14ac:dyDescent="0.25">
      <c r="A228" s="20">
        <v>22</v>
      </c>
      <c r="B228" s="20"/>
      <c r="C228" s="66" t="s">
        <v>56</v>
      </c>
      <c r="D228" s="66" t="s">
        <v>760</v>
      </c>
      <c r="E228" s="67" t="s">
        <v>761</v>
      </c>
      <c r="F228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28" s="68">
        <v>0.85</v>
      </c>
      <c r="H228" s="20" t="e">
        <f>DATEDIF(#REF!,#REF!,"y") &amp; " años " &amp; DATEDIF(#REF!,#REF!,"ym") &amp; " meses " &amp; DATEDIF(#REF!,#REF!,"md") &amp; " días"</f>
        <v>#REF!</v>
      </c>
      <c r="I228" s="20" t="e">
        <f>DATEDIF(#REF!,#REF!,"y") &amp; " años " &amp; DATEDIF(#REF!,#REF!,"ym") &amp; " meses " &amp; DATEDIF(#REF!,#REF!,"md") &amp; " días"</f>
        <v>#REF!</v>
      </c>
      <c r="J228" s="172"/>
      <c r="K228" s="179"/>
      <c r="L228" s="173"/>
      <c r="M228" s="69">
        <v>29343.32</v>
      </c>
      <c r="N228" s="26" t="s">
        <v>336</v>
      </c>
    </row>
    <row r="229" spans="1:14" s="7" customFormat="1" ht="45" customHeight="1" x14ac:dyDescent="0.25">
      <c r="A229" s="20">
        <v>23</v>
      </c>
      <c r="B229" s="20"/>
      <c r="C229" s="66" t="s">
        <v>56</v>
      </c>
      <c r="D229" s="66" t="s">
        <v>762</v>
      </c>
      <c r="E229" s="67" t="s">
        <v>763</v>
      </c>
      <c r="F229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29" s="68">
        <v>0.85</v>
      </c>
      <c r="H229" s="20" t="e">
        <f>DATEDIF(#REF!,#REF!,"y") &amp; " años " &amp; DATEDIF(#REF!,#REF!,"ym") &amp; " meses " &amp; DATEDIF(#REF!,#REF!,"md") &amp; " días"</f>
        <v>#REF!</v>
      </c>
      <c r="I229" s="20" t="e">
        <f>DATEDIF(#REF!,#REF!,"y") &amp; " años " &amp; DATEDIF(#REF!,#REF!,"ym") &amp; " meses " &amp; DATEDIF(#REF!,#REF!,"md") &amp; " días"</f>
        <v>#REF!</v>
      </c>
      <c r="J229" s="172"/>
      <c r="K229" s="179"/>
      <c r="L229" s="173"/>
      <c r="M229" s="69">
        <v>29343.32</v>
      </c>
      <c r="N229" s="26" t="s">
        <v>336</v>
      </c>
    </row>
    <row r="230" spans="1:14" s="7" customFormat="1" ht="45" customHeight="1" x14ac:dyDescent="0.25">
      <c r="A230" s="20">
        <v>24</v>
      </c>
      <c r="B230" s="20"/>
      <c r="C230" s="66" t="s">
        <v>56</v>
      </c>
      <c r="D230" s="66" t="s">
        <v>764</v>
      </c>
      <c r="E230" s="67" t="s">
        <v>765</v>
      </c>
      <c r="F230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30" s="68">
        <v>0.77500000000000002</v>
      </c>
      <c r="H230" s="20" t="e">
        <f>DATEDIF(#REF!,#REF!,"y") &amp; " años " &amp; DATEDIF(#REF!,#REF!,"ym") &amp; " meses " &amp; DATEDIF(#REF!,#REF!,"md") &amp; " días"</f>
        <v>#REF!</v>
      </c>
      <c r="I230" s="20" t="e">
        <f>DATEDIF(#REF!,#REF!,"y") &amp; " años " &amp; DATEDIF(#REF!,#REF!,"ym") &amp; " meses " &amp; DATEDIF(#REF!,#REF!,"md") &amp; " días"</f>
        <v>#REF!</v>
      </c>
      <c r="J230" s="172"/>
      <c r="K230" s="179"/>
      <c r="L230" s="173"/>
      <c r="M230" s="69">
        <v>29343.32</v>
      </c>
      <c r="N230" s="26" t="s">
        <v>336</v>
      </c>
    </row>
    <row r="231" spans="1:14" s="7" customFormat="1" ht="45" customHeight="1" x14ac:dyDescent="0.25">
      <c r="A231" s="20">
        <v>25</v>
      </c>
      <c r="B231" s="20"/>
      <c r="C231" s="66" t="s">
        <v>56</v>
      </c>
      <c r="D231" s="66" t="s">
        <v>766</v>
      </c>
      <c r="E231" s="67" t="s">
        <v>767</v>
      </c>
      <c r="F231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31" s="68">
        <v>1</v>
      </c>
      <c r="H231" s="20" t="e">
        <f>DATEDIF(#REF!,#REF!,"y") &amp; " años " &amp; DATEDIF(#REF!,#REF!,"ym") &amp; " meses " &amp; DATEDIF(#REF!,#REF!,"md") &amp; " días"</f>
        <v>#REF!</v>
      </c>
      <c r="I231" s="20" t="e">
        <f>DATEDIF(#REF!,#REF!,"y") &amp; " años " &amp; DATEDIF(#REF!,#REF!,"ym") &amp; " meses " &amp; DATEDIF(#REF!,#REF!,"md") &amp; " días"</f>
        <v>#REF!</v>
      </c>
      <c r="J231" s="172" t="s">
        <v>13</v>
      </c>
      <c r="K231" s="179"/>
      <c r="L231" s="173"/>
      <c r="M231" s="69">
        <v>29343.32</v>
      </c>
      <c r="N231" s="26" t="s">
        <v>336</v>
      </c>
    </row>
    <row r="232" spans="1:14" s="7" customFormat="1" ht="45" customHeight="1" x14ac:dyDescent="0.25">
      <c r="A232" s="20">
        <v>26</v>
      </c>
      <c r="B232" s="67"/>
      <c r="C232" s="66" t="s">
        <v>56</v>
      </c>
      <c r="D232" s="66" t="s">
        <v>768</v>
      </c>
      <c r="E232" s="67" t="s">
        <v>769</v>
      </c>
      <c r="F232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32" s="68">
        <v>0.72499999999999998</v>
      </c>
      <c r="H232" s="20" t="e">
        <f>DATEDIF(#REF!,#REF!,"y") &amp; " años " &amp; DATEDIF(#REF!,#REF!,"ym") &amp; " meses " &amp; DATEDIF(#REF!,#REF!,"md") &amp; " días"</f>
        <v>#REF!</v>
      </c>
      <c r="I232" s="20" t="e">
        <f>DATEDIF(#REF!,#REF!,"y") &amp; " años " &amp; DATEDIF(#REF!,#REF!,"ym") &amp; " meses " &amp; DATEDIF(#REF!,#REF!,"md") &amp; " días"</f>
        <v>#REF!</v>
      </c>
      <c r="J232" s="172"/>
      <c r="K232" s="179"/>
      <c r="L232" s="173"/>
      <c r="M232" s="69">
        <v>27563.57</v>
      </c>
      <c r="N232" s="26" t="s">
        <v>336</v>
      </c>
    </row>
    <row r="233" spans="1:14" s="7" customFormat="1" ht="45" customHeight="1" x14ac:dyDescent="0.25">
      <c r="A233" s="20">
        <v>27</v>
      </c>
      <c r="B233" s="20"/>
      <c r="C233" s="66" t="s">
        <v>56</v>
      </c>
      <c r="D233" s="66" t="s">
        <v>770</v>
      </c>
      <c r="E233" s="67" t="s">
        <v>771</v>
      </c>
      <c r="F233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33" s="68">
        <v>0.77500000000000002</v>
      </c>
      <c r="H233" s="20" t="e">
        <f>DATEDIF(#REF!,#REF!,"y") &amp; " años " &amp; DATEDIF(#REF!,#REF!,"ym") &amp; " meses " &amp; DATEDIF(#REF!,#REF!,"md") &amp; " días"</f>
        <v>#REF!</v>
      </c>
      <c r="I233" s="20" t="e">
        <f>DATEDIF(#REF!,#REF!,"y") &amp; " años " &amp; DATEDIF(#REF!,#REF!,"ym") &amp; " meses " &amp; DATEDIF(#REF!,#REF!,"md") &amp; " días"</f>
        <v>#REF!</v>
      </c>
      <c r="J233" s="172"/>
      <c r="K233" s="179"/>
      <c r="L233" s="173"/>
      <c r="M233" s="69">
        <v>60000</v>
      </c>
      <c r="N233" s="26" t="s">
        <v>336</v>
      </c>
    </row>
    <row r="234" spans="1:14" s="7" customFormat="1" ht="45" customHeight="1" x14ac:dyDescent="0.25">
      <c r="A234" s="20">
        <v>28</v>
      </c>
      <c r="B234" s="20"/>
      <c r="C234" s="66" t="s">
        <v>56</v>
      </c>
      <c r="D234" s="66" t="s">
        <v>772</v>
      </c>
      <c r="E234" s="67" t="s">
        <v>773</v>
      </c>
      <c r="F234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34" s="68">
        <v>1</v>
      </c>
      <c r="H234" s="20" t="e">
        <f>DATEDIF(#REF!,#REF!,"y") &amp; " años " &amp; DATEDIF(#REF!,#REF!,"ym") &amp; " meses " &amp; DATEDIF(#REF!,#REF!,"md") &amp; " días"</f>
        <v>#REF!</v>
      </c>
      <c r="I234" s="20" t="e">
        <f>DATEDIF(#REF!,#REF!,"y") &amp; " años " &amp; DATEDIF(#REF!,#REF!,"ym") &amp; " meses " &amp; DATEDIF(#REF!,#REF!,"md") &amp; " días"</f>
        <v>#REF!</v>
      </c>
      <c r="J234" s="172"/>
      <c r="K234" s="179"/>
      <c r="L234" s="173"/>
      <c r="M234" s="69">
        <f>29343.32</f>
        <v>29343.32</v>
      </c>
      <c r="N234" s="26" t="s">
        <v>336</v>
      </c>
    </row>
    <row r="235" spans="1:14" s="7" customFormat="1" ht="45" customHeight="1" x14ac:dyDescent="0.25">
      <c r="A235" s="20">
        <v>29</v>
      </c>
      <c r="B235" s="20"/>
      <c r="C235" s="21" t="s">
        <v>410</v>
      </c>
      <c r="D235" s="22" t="s">
        <v>774</v>
      </c>
      <c r="E235" s="70" t="s">
        <v>775</v>
      </c>
      <c r="F235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35" s="24">
        <v>1</v>
      </c>
      <c r="H235" s="20" t="e">
        <f>DATEDIF(#REF!,#REF!,"y") &amp; " años " &amp; DATEDIF(#REF!,#REF!,"ym") &amp; " meses " &amp; DATEDIF(#REF!,#REF!,"md") &amp; " días"</f>
        <v>#REF!</v>
      </c>
      <c r="I235" s="20" t="e">
        <f>DATEDIF(#REF!,#REF!,"y") &amp; " años " &amp; DATEDIF(#REF!,#REF!,"ym") &amp; " meses " &amp; DATEDIF(#REF!,#REF!,"md") &amp; " días"</f>
        <v>#REF!</v>
      </c>
      <c r="J235" s="172"/>
      <c r="K235" s="179"/>
      <c r="L235" s="173"/>
      <c r="M235" s="26">
        <f>29343.32+12000</f>
        <v>41343.32</v>
      </c>
      <c r="N235" s="26" t="s">
        <v>337</v>
      </c>
    </row>
    <row r="236" spans="1:14" s="7" customFormat="1" ht="45" customHeight="1" x14ac:dyDescent="0.25">
      <c r="A236" s="20">
        <v>30</v>
      </c>
      <c r="B236" s="20"/>
      <c r="C236" s="66" t="s">
        <v>77</v>
      </c>
      <c r="D236" s="66" t="s">
        <v>776</v>
      </c>
      <c r="E236" s="67" t="s">
        <v>777</v>
      </c>
      <c r="F236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36" s="68">
        <v>0.7</v>
      </c>
      <c r="H236" s="20" t="e">
        <f>DATEDIF(#REF!,#REF!,"y") &amp; " años " &amp; DATEDIF(#REF!,#REF!,"ym") &amp; " meses " &amp; DATEDIF(#REF!,#REF!,"md") &amp; " días"</f>
        <v>#REF!</v>
      </c>
      <c r="I236" s="20" t="e">
        <f>DATEDIF(#REF!,#REF!,"y") &amp; " años " &amp; DATEDIF(#REF!,#REF!,"ym") &amp; " meses " &amp; DATEDIF(#REF!,#REF!,"md") &amp; " días"</f>
        <v>#REF!</v>
      </c>
      <c r="J236" s="172"/>
      <c r="K236" s="179"/>
      <c r="L236" s="173"/>
      <c r="M236" s="69">
        <v>27563.57</v>
      </c>
      <c r="N236" s="26" t="s">
        <v>338</v>
      </c>
    </row>
    <row r="237" spans="1:14" s="7" customFormat="1" ht="45" customHeight="1" x14ac:dyDescent="0.25">
      <c r="A237" s="20">
        <v>31</v>
      </c>
      <c r="B237" s="20"/>
      <c r="C237" s="66" t="s">
        <v>87</v>
      </c>
      <c r="D237" s="66" t="s">
        <v>778</v>
      </c>
      <c r="E237" s="67" t="s">
        <v>779</v>
      </c>
      <c r="F237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37" s="68">
        <v>1</v>
      </c>
      <c r="H237" s="20" t="e">
        <f>DATEDIF(#REF!,#REF!,"y") &amp; " años " &amp; DATEDIF(#REF!,#REF!,"ym") &amp; " meses " &amp; DATEDIF(#REF!,#REF!,"md") &amp; " días"</f>
        <v>#REF!</v>
      </c>
      <c r="I237" s="20" t="e">
        <f>DATEDIF(#REF!,#REF!,"y") &amp; " años " &amp; DATEDIF(#REF!,#REF!,"ym") &amp; " meses " &amp; DATEDIF(#REF!,#REF!,"md") &amp; " días"</f>
        <v>#REF!</v>
      </c>
      <c r="J237" s="172"/>
      <c r="K237" s="179"/>
      <c r="L237" s="173"/>
      <c r="M237" s="69">
        <f>27563.58</f>
        <v>27563.58</v>
      </c>
      <c r="N237" s="26" t="s">
        <v>336</v>
      </c>
    </row>
    <row r="238" spans="1:14" s="7" customFormat="1" ht="45" customHeight="1" x14ac:dyDescent="0.25">
      <c r="A238" s="20">
        <v>32</v>
      </c>
      <c r="B238" s="20"/>
      <c r="C238" s="66" t="s">
        <v>87</v>
      </c>
      <c r="D238" s="66" t="s">
        <v>780</v>
      </c>
      <c r="E238" s="67" t="s">
        <v>781</v>
      </c>
      <c r="F238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38" s="68">
        <v>0.77500000000000002</v>
      </c>
      <c r="H238" s="20" t="e">
        <f>DATEDIF(#REF!,#REF!,"y") &amp; " años " &amp; DATEDIF(#REF!,#REF!,"ym") &amp; " meses " &amp; DATEDIF(#REF!,#REF!,"md") &amp; " días"</f>
        <v>#REF!</v>
      </c>
      <c r="I238" s="20" t="e">
        <f>DATEDIF(#REF!,#REF!,"y") &amp; " años " &amp; DATEDIF(#REF!,#REF!,"ym") &amp; " meses " &amp; DATEDIF(#REF!,#REF!,"md") &amp; " días"</f>
        <v>#REF!</v>
      </c>
      <c r="J238" s="172"/>
      <c r="K238" s="179"/>
      <c r="L238" s="173"/>
      <c r="M238" s="69">
        <f>27563.58</f>
        <v>27563.58</v>
      </c>
      <c r="N238" s="26" t="s">
        <v>336</v>
      </c>
    </row>
    <row r="239" spans="1:14" s="7" customFormat="1" ht="45" customHeight="1" x14ac:dyDescent="0.25">
      <c r="A239" s="20">
        <v>33</v>
      </c>
      <c r="B239" s="20"/>
      <c r="C239" s="66" t="s">
        <v>87</v>
      </c>
      <c r="D239" s="66" t="s">
        <v>782</v>
      </c>
      <c r="E239" s="67" t="s">
        <v>783</v>
      </c>
      <c r="F239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39" s="68">
        <v>0.88</v>
      </c>
      <c r="H239" s="20" t="e">
        <f>DATEDIF(#REF!,#REF!,"y") &amp; " años " &amp; DATEDIF(#REF!,#REF!,"ym") &amp; " meses " &amp; DATEDIF(#REF!,#REF!,"md") &amp; " días"</f>
        <v>#REF!</v>
      </c>
      <c r="I239" s="20" t="e">
        <f>DATEDIF(#REF!,#REF!,"y") &amp; " años " &amp; DATEDIF(#REF!,#REF!,"ym") &amp; " meses " &amp; DATEDIF(#REF!,#REF!,"md") &amp; " días"</f>
        <v>#REF!</v>
      </c>
      <c r="J239" s="172"/>
      <c r="K239" s="179"/>
      <c r="L239" s="173"/>
      <c r="M239" s="69">
        <f>27563.58</f>
        <v>27563.58</v>
      </c>
      <c r="N239" s="26" t="s">
        <v>336</v>
      </c>
    </row>
    <row r="240" spans="1:14" s="7" customFormat="1" ht="45" customHeight="1" x14ac:dyDescent="0.25">
      <c r="A240" s="20">
        <v>34</v>
      </c>
      <c r="B240" s="20"/>
      <c r="C240" s="66" t="s">
        <v>87</v>
      </c>
      <c r="D240" s="66" t="s">
        <v>784</v>
      </c>
      <c r="E240" s="67" t="s">
        <v>785</v>
      </c>
      <c r="F240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40" s="68">
        <v>0.94</v>
      </c>
      <c r="H240" s="20" t="e">
        <f>DATEDIF(#REF!,#REF!,"y") &amp; " años " &amp; DATEDIF(#REF!,#REF!,"ym") &amp; " meses " &amp; DATEDIF(#REF!,#REF!,"md") &amp; " días"</f>
        <v>#REF!</v>
      </c>
      <c r="I240" s="20" t="e">
        <f>DATEDIF(#REF!,#REF!,"y") &amp; " años " &amp; DATEDIF(#REF!,#REF!,"ym") &amp; " meses " &amp; DATEDIF(#REF!,#REF!,"md") &amp; " días"</f>
        <v>#REF!</v>
      </c>
      <c r="J240" s="172"/>
      <c r="K240" s="179"/>
      <c r="L240" s="173"/>
      <c r="M240" s="69">
        <f>27563.58</f>
        <v>27563.58</v>
      </c>
      <c r="N240" s="26" t="s">
        <v>336</v>
      </c>
    </row>
    <row r="241" spans="1:14" s="7" customFormat="1" ht="45" customHeight="1" x14ac:dyDescent="0.25">
      <c r="A241" s="20">
        <v>35</v>
      </c>
      <c r="B241" s="20"/>
      <c r="C241" s="21" t="s">
        <v>87</v>
      </c>
      <c r="D241" s="22" t="s">
        <v>786</v>
      </c>
      <c r="E241" s="70" t="s">
        <v>787</v>
      </c>
      <c r="F241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41" s="24">
        <v>1</v>
      </c>
      <c r="H241" s="20" t="e">
        <f>DATEDIF(#REF!,#REF!,"y") &amp; " años " &amp; DATEDIF(#REF!,#REF!,"ym") &amp; " meses " &amp; DATEDIF(#REF!,#REF!,"md") &amp; " días"</f>
        <v>#REF!</v>
      </c>
      <c r="I241" s="20" t="e">
        <f>DATEDIF(#REF!,#REF!,"y") &amp; " años " &amp; DATEDIF(#REF!,#REF!,"ym") &amp; " meses " &amp; DATEDIF(#REF!,#REF!,"md") &amp; " días"</f>
        <v>#REF!</v>
      </c>
      <c r="J241" s="172"/>
      <c r="K241" s="179"/>
      <c r="L241" s="173"/>
      <c r="M241" s="26">
        <f>27563.58+8000</f>
        <v>35563.58</v>
      </c>
      <c r="N241" s="26" t="s">
        <v>337</v>
      </c>
    </row>
    <row r="242" spans="1:14" s="7" customFormat="1" ht="45" customHeight="1" x14ac:dyDescent="0.25">
      <c r="A242" s="20">
        <v>36</v>
      </c>
      <c r="B242" s="20"/>
      <c r="C242" s="66" t="s">
        <v>118</v>
      </c>
      <c r="D242" s="66" t="s">
        <v>788</v>
      </c>
      <c r="E242" s="67" t="s">
        <v>789</v>
      </c>
      <c r="F242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42" s="68">
        <v>0.6</v>
      </c>
      <c r="H242" s="20" t="e">
        <f>DATEDIF(#REF!,#REF!,"y") &amp; " años " &amp; DATEDIF(#REF!,#REF!,"ym") &amp; " meses " &amp; DATEDIF(#REF!,#REF!,"md") &amp; " días"</f>
        <v>#REF!</v>
      </c>
      <c r="I242" s="20" t="e">
        <f>DATEDIF(#REF!,#REF!,"y") &amp; " años " &amp; DATEDIF(#REF!,#REF!,"ym") &amp; " meses " &amp; DATEDIF(#REF!,#REF!,"md") &amp; " días"</f>
        <v>#REF!</v>
      </c>
      <c r="J242" s="172"/>
      <c r="K242" s="179"/>
      <c r="L242" s="173"/>
      <c r="M242" s="69">
        <v>23401.72</v>
      </c>
      <c r="N242" s="26" t="s">
        <v>338</v>
      </c>
    </row>
    <row r="243" spans="1:14" s="7" customFormat="1" ht="45" customHeight="1" x14ac:dyDescent="0.25">
      <c r="A243" s="20">
        <v>37</v>
      </c>
      <c r="B243" s="20"/>
      <c r="C243" s="66" t="s">
        <v>118</v>
      </c>
      <c r="D243" s="66" t="s">
        <v>790</v>
      </c>
      <c r="E243" s="67" t="s">
        <v>791</v>
      </c>
      <c r="F243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43" s="68">
        <v>0.67500000000000004</v>
      </c>
      <c r="H243" s="20" t="e">
        <f>DATEDIF(#REF!,#REF!,"y") &amp; " años " &amp; DATEDIF(#REF!,#REF!,"ym") &amp; " meses " &amp; DATEDIF(#REF!,#REF!,"md") &amp; " días"</f>
        <v>#REF!</v>
      </c>
      <c r="I243" s="20" t="e">
        <f>DATEDIF(#REF!,#REF!,"y") &amp; " años " &amp; DATEDIF(#REF!,#REF!,"ym") &amp; " meses " &amp; DATEDIF(#REF!,#REF!,"md") &amp; " días"</f>
        <v>#REF!</v>
      </c>
      <c r="J243" s="172"/>
      <c r="K243" s="179"/>
      <c r="L243" s="173"/>
      <c r="M243" s="69">
        <f>25039.84</f>
        <v>25039.84</v>
      </c>
      <c r="N243" s="26" t="s">
        <v>338</v>
      </c>
    </row>
    <row r="244" spans="1:14" s="7" customFormat="1" ht="45" customHeight="1" x14ac:dyDescent="0.25">
      <c r="A244" s="20">
        <v>38</v>
      </c>
      <c r="B244" s="20"/>
      <c r="C244" s="66" t="s">
        <v>118</v>
      </c>
      <c r="D244" s="66" t="s">
        <v>792</v>
      </c>
      <c r="E244" s="67" t="s">
        <v>793</v>
      </c>
      <c r="F244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44" s="68">
        <v>0.67500000000000004</v>
      </c>
      <c r="H244" s="20" t="e">
        <f>DATEDIF(#REF!,#REF!,"y") &amp; " años " &amp; DATEDIF(#REF!,#REF!,"ym") &amp; " meses " &amp; DATEDIF(#REF!,#REF!,"md") &amp; " días"</f>
        <v>#REF!</v>
      </c>
      <c r="I244" s="20" t="e">
        <f>DATEDIF(#REF!,#REF!,"y") &amp; " años " &amp; DATEDIF(#REF!,#REF!,"ym") &amp; " meses " &amp; DATEDIF(#REF!,#REF!,"md") &amp; " días"</f>
        <v>#REF!</v>
      </c>
      <c r="J244" s="172"/>
      <c r="K244" s="179"/>
      <c r="L244" s="173"/>
      <c r="M244" s="69">
        <v>27563.57</v>
      </c>
      <c r="N244" s="26" t="s">
        <v>338</v>
      </c>
    </row>
    <row r="245" spans="1:14" s="7" customFormat="1" ht="45" customHeight="1" x14ac:dyDescent="0.25">
      <c r="A245" s="20">
        <v>39</v>
      </c>
      <c r="B245" s="20"/>
      <c r="C245" s="66" t="s">
        <v>118</v>
      </c>
      <c r="D245" s="66" t="s">
        <v>794</v>
      </c>
      <c r="E245" s="67" t="s">
        <v>795</v>
      </c>
      <c r="F245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45" s="68">
        <v>0.6</v>
      </c>
      <c r="H245" s="20" t="e">
        <f>DATEDIF(#REF!,#REF!,"y") &amp; " años " &amp; DATEDIF(#REF!,#REF!,"ym") &amp; " meses " &amp; DATEDIF(#REF!,#REF!,"md") &amp; " días"</f>
        <v>#REF!</v>
      </c>
      <c r="I245" s="20" t="e">
        <f>DATEDIF(#REF!,#REF!,"y") &amp; " años " &amp; DATEDIF(#REF!,#REF!,"ym") &amp; " meses " &amp; DATEDIF(#REF!,#REF!,"md") &amp; " días"</f>
        <v>#REF!</v>
      </c>
      <c r="J245" s="172"/>
      <c r="K245" s="179"/>
      <c r="L245" s="173"/>
      <c r="M245" s="69">
        <f>27563.58+8000</f>
        <v>35563.58</v>
      </c>
      <c r="N245" s="26" t="s">
        <v>338</v>
      </c>
    </row>
    <row r="246" spans="1:14" s="7" customFormat="1" ht="45" customHeight="1" x14ac:dyDescent="0.25">
      <c r="A246" s="20">
        <v>40</v>
      </c>
      <c r="B246" s="20"/>
      <c r="C246" s="66" t="s">
        <v>118</v>
      </c>
      <c r="D246" s="66" t="s">
        <v>796</v>
      </c>
      <c r="E246" s="67" t="s">
        <v>797</v>
      </c>
      <c r="F246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46" s="68">
        <v>0.7</v>
      </c>
      <c r="H246" s="20" t="e">
        <f>DATEDIF(#REF!,#REF!,"y") &amp; " años " &amp; DATEDIF(#REF!,#REF!,"ym") &amp; " meses " &amp; DATEDIF(#REF!,#REF!,"md") &amp; " días"</f>
        <v>#REF!</v>
      </c>
      <c r="I246" s="20" t="e">
        <f>DATEDIF(#REF!,#REF!,"y") &amp; " años " &amp; DATEDIF(#REF!,#REF!,"ym") &amp; " meses " &amp; DATEDIF(#REF!,#REF!,"md") &amp; " días"</f>
        <v>#REF!</v>
      </c>
      <c r="J246" s="172"/>
      <c r="K246" s="179"/>
      <c r="L246" s="173"/>
      <c r="M246" s="69">
        <v>26251.03</v>
      </c>
      <c r="N246" s="26" t="s">
        <v>338</v>
      </c>
    </row>
    <row r="247" spans="1:14" s="7" customFormat="1" ht="45" customHeight="1" x14ac:dyDescent="0.25">
      <c r="A247" s="20">
        <v>41</v>
      </c>
      <c r="B247" s="20"/>
      <c r="C247" s="66" t="s">
        <v>122</v>
      </c>
      <c r="D247" s="66" t="s">
        <v>798</v>
      </c>
      <c r="E247" s="67" t="s">
        <v>799</v>
      </c>
      <c r="F247" s="25" t="e">
        <f>DATEDIF(#REF!,#REF!,"y") + DATEDIF(#REF!,#REF!,"y") + DATEDIF(#REF!,#REF!,"y")  + DATEDIF(#REF!,#REF!,"y")+ SUM(#REF!) &amp; " años " &amp; DATEDIF(#REF!,#REF!,"ym") + DATEDIF(#REF!,#REF!,"ym") + DATEDIF(#REF!,#REF!,"ym")  + DATEDIF(#REF!,#REF!,"ym") + SUM(#REF!) - SUM(#REF!) &amp; " meses " &amp; DATEDIF(#REF!,#REF!,"md") + DATEDIF(#REF!,#REF!,"md") + DATEDIF(#REF!,#REF!,"md")  + DATEDIF(#REF!,#REF!,"md") - SUM(#REF!) &amp; " días"</f>
        <v>#REF!</v>
      </c>
      <c r="G247" s="68">
        <v>0.77500000000000002</v>
      </c>
      <c r="H247" s="20" t="e">
        <f>DATEDIF(#REF!,#REF!,"y") &amp; " años " &amp; DATEDIF(#REF!,#REF!,"ym") &amp; " meses " &amp; DATEDIF(#REF!,#REF!,"md") &amp; " días"</f>
        <v>#REF!</v>
      </c>
      <c r="I247" s="20" t="e">
        <f>DATEDIF(#REF!,#REF!,"y") &amp; " años " &amp; DATEDIF(#REF!,#REF!,"ym") &amp; " meses " &amp; DATEDIF(#REF!,#REF!,"md") &amp; " días"</f>
        <v>#REF!</v>
      </c>
      <c r="J247" s="172"/>
      <c r="K247" s="179"/>
      <c r="L247" s="173"/>
      <c r="M247" s="69">
        <f>25039.85</f>
        <v>25039.85</v>
      </c>
      <c r="N247" s="26" t="s">
        <v>336</v>
      </c>
    </row>
    <row r="248" spans="1:14" s="7" customFormat="1" ht="45" customHeight="1" x14ac:dyDescent="0.25">
      <c r="A248" s="20">
        <v>42</v>
      </c>
      <c r="B248" s="20"/>
      <c r="C248" s="66" t="s">
        <v>122</v>
      </c>
      <c r="D248" s="66" t="s">
        <v>800</v>
      </c>
      <c r="E248" s="67" t="s">
        <v>801</v>
      </c>
      <c r="F248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48" s="68">
        <v>0.7</v>
      </c>
      <c r="H248" s="20" t="e">
        <f>DATEDIF(#REF!,#REF!,"y") &amp; " años " &amp; DATEDIF(#REF!,#REF!,"ym") &amp; " meses " &amp; DATEDIF(#REF!,#REF!,"md") &amp; " días"</f>
        <v>#REF!</v>
      </c>
      <c r="I248" s="20" t="e">
        <f>DATEDIF(#REF!,#REF!,"y") &amp; " años " &amp; DATEDIF(#REF!,#REF!,"ym") &amp; " meses " &amp; DATEDIF(#REF!,#REF!,"md") &amp; " días"</f>
        <v>#REF!</v>
      </c>
      <c r="J248" s="172"/>
      <c r="K248" s="179"/>
      <c r="L248" s="173"/>
      <c r="M248" s="69">
        <f>25039.84</f>
        <v>25039.84</v>
      </c>
      <c r="N248" s="26" t="s">
        <v>336</v>
      </c>
    </row>
    <row r="249" spans="1:14" s="7" customFormat="1" ht="45" customHeight="1" x14ac:dyDescent="0.25">
      <c r="A249" s="20">
        <v>43</v>
      </c>
      <c r="B249" s="20"/>
      <c r="C249" s="66" t="s">
        <v>122</v>
      </c>
      <c r="D249" s="66" t="s">
        <v>802</v>
      </c>
      <c r="E249" s="67" t="s">
        <v>803</v>
      </c>
      <c r="F249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49" s="68">
        <v>0.625</v>
      </c>
      <c r="H249" s="20" t="e">
        <f>DATEDIF(#REF!,#REF!,"y") &amp; " años " &amp; DATEDIF(#REF!,#REF!,"ym") &amp; " meses " &amp; DATEDIF(#REF!,#REF!,"md") &amp; " días"</f>
        <v>#REF!</v>
      </c>
      <c r="I249" s="20" t="e">
        <f>DATEDIF(#REF!,#REF!,"y") &amp; " años " &amp; DATEDIF(#REF!,#REF!,"ym") &amp; " meses " &amp; DATEDIF(#REF!,#REF!,"md") &amp; " días"</f>
        <v>#REF!</v>
      </c>
      <c r="J249" s="172"/>
      <c r="K249" s="179"/>
      <c r="L249" s="173"/>
      <c r="M249" s="69">
        <v>23826.3</v>
      </c>
      <c r="N249" s="26" t="s">
        <v>336</v>
      </c>
    </row>
    <row r="250" spans="1:14" s="7" customFormat="1" ht="45" customHeight="1" x14ac:dyDescent="0.25">
      <c r="A250" s="20">
        <v>44</v>
      </c>
      <c r="B250" s="20"/>
      <c r="C250" s="21" t="s">
        <v>122</v>
      </c>
      <c r="D250" s="22" t="s">
        <v>804</v>
      </c>
      <c r="E250" s="70" t="s">
        <v>805</v>
      </c>
      <c r="F250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50" s="24">
        <v>1</v>
      </c>
      <c r="H250" s="20" t="e">
        <f>DATEDIF(#REF!,#REF!,"y") &amp; " años " &amp; DATEDIF(#REF!,#REF!,"ym") &amp; " meses " &amp; DATEDIF(#REF!,#REF!,"md") &amp; " días"</f>
        <v>#REF!</v>
      </c>
      <c r="I250" s="20" t="e">
        <f>DATEDIF(#REF!,#REF!,"y") &amp; " años " &amp; DATEDIF(#REF!,#REF!,"ym") &amp; " meses " &amp; DATEDIF(#REF!,#REF!,"md") &amp; " días"</f>
        <v>#REF!</v>
      </c>
      <c r="J250" s="172"/>
      <c r="K250" s="179"/>
      <c r="L250" s="173"/>
      <c r="M250" s="26">
        <v>25039.85</v>
      </c>
      <c r="N250" s="26" t="s">
        <v>337</v>
      </c>
    </row>
    <row r="251" spans="1:14" s="7" customFormat="1" ht="45" customHeight="1" x14ac:dyDescent="0.25">
      <c r="A251" s="20">
        <v>45</v>
      </c>
      <c r="B251" s="67"/>
      <c r="C251" s="66" t="s">
        <v>130</v>
      </c>
      <c r="D251" s="66" t="s">
        <v>806</v>
      </c>
      <c r="E251" s="67" t="s">
        <v>807</v>
      </c>
      <c r="F251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51" s="68">
        <v>0.67500000000000004</v>
      </c>
      <c r="H251" s="20" t="e">
        <f>DATEDIF(#REF!,#REF!,"y") &amp; " años " &amp; DATEDIF(#REF!,#REF!,"ym") &amp; " meses " &amp; DATEDIF(#REF!,#REF!,"md") &amp; " días"</f>
        <v>#REF!</v>
      </c>
      <c r="I251" s="20" t="e">
        <f>DATEDIF(#REF!,#REF!,"y") &amp; " años " &amp; DATEDIF(#REF!,#REF!,"ym") &amp; " meses " &amp; DATEDIF(#REF!,#REF!,"md") &amp; " días"</f>
        <v>#REF!</v>
      </c>
      <c r="J251" s="172"/>
      <c r="K251" s="179"/>
      <c r="L251" s="173"/>
      <c r="M251" s="69">
        <f>25039.84+8000</f>
        <v>33039.839999999997</v>
      </c>
      <c r="N251" s="26" t="s">
        <v>338</v>
      </c>
    </row>
    <row r="252" spans="1:14" s="7" customFormat="1" ht="45" customHeight="1" x14ac:dyDescent="0.25">
      <c r="A252" s="20">
        <v>46</v>
      </c>
      <c r="B252" s="67"/>
      <c r="C252" s="66" t="s">
        <v>130</v>
      </c>
      <c r="D252" s="66" t="s">
        <v>808</v>
      </c>
      <c r="E252" s="67" t="s">
        <v>809</v>
      </c>
      <c r="F252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52" s="68">
        <v>0.625</v>
      </c>
      <c r="H252" s="20" t="e">
        <f>DATEDIF(#REF!,#REF!,"y") &amp; " años " &amp; DATEDIF(#REF!,#REF!,"ym") &amp; " meses " &amp; DATEDIF(#REF!,#REF!,"md") &amp; " días"</f>
        <v>#REF!</v>
      </c>
      <c r="I252" s="20" t="e">
        <f>DATEDIF(#REF!,#REF!,"y") &amp; " años " &amp; DATEDIF(#REF!,#REF!,"ym") &amp; " meses " &amp; DATEDIF(#REF!,#REF!,"md") &amp; " días"</f>
        <v>#REF!</v>
      </c>
      <c r="J252" s="172"/>
      <c r="K252" s="179"/>
      <c r="L252" s="173"/>
      <c r="M252" s="69">
        <v>23401.71</v>
      </c>
      <c r="N252" s="26" t="s">
        <v>338</v>
      </c>
    </row>
    <row r="253" spans="1:14" s="7" customFormat="1" ht="45" customHeight="1" x14ac:dyDescent="0.25">
      <c r="A253" s="20">
        <v>47</v>
      </c>
      <c r="B253" s="67"/>
      <c r="C253" s="66" t="s">
        <v>810</v>
      </c>
      <c r="D253" s="66" t="s">
        <v>811</v>
      </c>
      <c r="E253" s="67" t="s">
        <v>812</v>
      </c>
      <c r="F253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53" s="68">
        <v>0.65</v>
      </c>
      <c r="H253" s="20" t="e">
        <f>DATEDIF(#REF!,#REF!,"y") &amp; " años " &amp; DATEDIF(#REF!,#REF!,"ym") &amp; " meses " &amp; DATEDIF(#REF!,#REF!,"md") &amp; " días"</f>
        <v>#REF!</v>
      </c>
      <c r="I253" s="20" t="e">
        <f>DATEDIF(#REF!,#REF!,"y") &amp; " años " &amp; DATEDIF(#REF!,#REF!,"ym") &amp; " meses " &amp; DATEDIF(#REF!,#REF!,"md") &amp; " días"</f>
        <v>#REF!</v>
      </c>
      <c r="J253" s="172"/>
      <c r="K253" s="179"/>
      <c r="L253" s="173"/>
      <c r="M253" s="69">
        <f>26185.4+8000</f>
        <v>34185.4</v>
      </c>
      <c r="N253" s="26" t="s">
        <v>336</v>
      </c>
    </row>
    <row r="254" spans="1:14" s="7" customFormat="1" ht="45" customHeight="1" x14ac:dyDescent="0.25">
      <c r="A254" s="20">
        <v>48</v>
      </c>
      <c r="B254" s="20"/>
      <c r="C254" s="66" t="s">
        <v>145</v>
      </c>
      <c r="D254" s="66" t="s">
        <v>813</v>
      </c>
      <c r="E254" s="67" t="s">
        <v>814</v>
      </c>
      <c r="F254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54" s="68">
        <v>0.7</v>
      </c>
      <c r="H254" s="20" t="e">
        <f>DATEDIF(#REF!,#REF!,"y") &amp; " años " &amp; DATEDIF(#REF!,#REF!,"ym") &amp; " meses " &amp; DATEDIF(#REF!,#REF!,"md") &amp; " días"</f>
        <v>#REF!</v>
      </c>
      <c r="I254" s="20" t="e">
        <f>DATEDIF(#REF!,#REF!,"y") &amp; " años " &amp; DATEDIF(#REF!,#REF!,"ym") &amp; " meses " &amp; DATEDIF(#REF!,#REF!,"md") &amp; " días"</f>
        <v>#REF!</v>
      </c>
      <c r="J254" s="172"/>
      <c r="K254" s="179"/>
      <c r="L254" s="173"/>
      <c r="M254" s="69">
        <f>23826.3</f>
        <v>23826.3</v>
      </c>
      <c r="N254" s="26" t="s">
        <v>336</v>
      </c>
    </row>
    <row r="255" spans="1:14" s="7" customFormat="1" ht="45" customHeight="1" x14ac:dyDescent="0.25">
      <c r="A255" s="20">
        <v>49</v>
      </c>
      <c r="B255" s="67"/>
      <c r="C255" s="66" t="s">
        <v>149</v>
      </c>
      <c r="D255" s="66" t="s">
        <v>815</v>
      </c>
      <c r="E255" s="67" t="s">
        <v>816</v>
      </c>
      <c r="F255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55" s="68">
        <v>0.6</v>
      </c>
      <c r="H255" s="20" t="e">
        <f>DATEDIF(#REF!,#REF!,"y") &amp; " años " &amp; DATEDIF(#REF!,#REF!,"ym") &amp; " meses " &amp; DATEDIF(#REF!,#REF!,"md") &amp; " días"</f>
        <v>#REF!</v>
      </c>
      <c r="I255" s="20" t="e">
        <f>DATEDIF(#REF!,#REF!,"y") &amp; " años " &amp; DATEDIF(#REF!,#REF!,"ym") &amp; " meses " &amp; DATEDIF(#REF!,#REF!,"md") &amp; " días"</f>
        <v>#REF!</v>
      </c>
      <c r="J255" s="172"/>
      <c r="K255" s="179"/>
      <c r="L255" s="173"/>
      <c r="M255" s="69">
        <v>20900.25</v>
      </c>
      <c r="N255" s="26" t="s">
        <v>339</v>
      </c>
    </row>
    <row r="256" spans="1:14" s="7" customFormat="1" ht="45" customHeight="1" x14ac:dyDescent="0.25">
      <c r="A256" s="20">
        <v>50</v>
      </c>
      <c r="B256" s="20"/>
      <c r="C256" s="66" t="s">
        <v>300</v>
      </c>
      <c r="D256" s="66" t="s">
        <v>817</v>
      </c>
      <c r="E256" s="67" t="s">
        <v>818</v>
      </c>
      <c r="F256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56" s="68">
        <v>0.88</v>
      </c>
      <c r="H256" s="20" t="e">
        <f>DATEDIF(#REF!,#REF!,"y") &amp; " años " &amp; DATEDIF(#REF!,#REF!,"ym") &amp; " meses " &amp; DATEDIF(#REF!,#REF!,"md") &amp; " días"</f>
        <v>#REF!</v>
      </c>
      <c r="I256" s="20"/>
      <c r="J256" s="172"/>
      <c r="K256" s="179"/>
      <c r="L256" s="173"/>
      <c r="M256" s="69">
        <f>15600+4400</f>
        <v>20000</v>
      </c>
      <c r="N256" s="26" t="s">
        <v>336</v>
      </c>
    </row>
    <row r="257" spans="1:18" s="7" customFormat="1" ht="45" customHeight="1" x14ac:dyDescent="0.25">
      <c r="A257" s="20">
        <v>51</v>
      </c>
      <c r="B257" s="20"/>
      <c r="C257" s="66" t="s">
        <v>300</v>
      </c>
      <c r="D257" s="66" t="s">
        <v>819</v>
      </c>
      <c r="E257" s="67" t="s">
        <v>820</v>
      </c>
      <c r="F257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57" s="68">
        <v>0.88</v>
      </c>
      <c r="H257" s="20" t="e">
        <f>DATEDIF(#REF!,#REF!,"y") &amp; " años " &amp; DATEDIF(#REF!,#REF!,"ym") &amp; " meses " &amp; DATEDIF(#REF!,#REF!,"md") &amp; " días"</f>
        <v>#REF!</v>
      </c>
      <c r="I257" s="20"/>
      <c r="J257" s="172"/>
      <c r="K257" s="179"/>
      <c r="L257" s="173"/>
      <c r="M257" s="69">
        <v>10150</v>
      </c>
      <c r="N257" s="26" t="s">
        <v>336</v>
      </c>
    </row>
    <row r="258" spans="1:18" s="7" customFormat="1" ht="45" customHeight="1" x14ac:dyDescent="0.25">
      <c r="A258" s="20">
        <v>52</v>
      </c>
      <c r="B258" s="20"/>
      <c r="C258" s="66" t="s">
        <v>300</v>
      </c>
      <c r="D258" s="66" t="s">
        <v>821</v>
      </c>
      <c r="E258" s="67" t="s">
        <v>822</v>
      </c>
      <c r="F258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58" s="68">
        <v>0.7</v>
      </c>
      <c r="H258" s="20" t="e">
        <f>DATEDIF(#REF!,#REF!,"y") &amp; " años " &amp; DATEDIF(#REF!,#REF!,"ym") &amp; " meses " &amp; DATEDIF(#REF!,#REF!,"md") &amp; " días"</f>
        <v>#REF!</v>
      </c>
      <c r="I258" s="20"/>
      <c r="J258" s="172"/>
      <c r="K258" s="179"/>
      <c r="L258" s="173"/>
      <c r="M258" s="69">
        <f>15600</f>
        <v>15600</v>
      </c>
      <c r="N258" s="26" t="s">
        <v>336</v>
      </c>
    </row>
    <row r="259" spans="1:18" s="7" customFormat="1" ht="45" customHeight="1" x14ac:dyDescent="0.25">
      <c r="A259" s="20">
        <v>53</v>
      </c>
      <c r="B259" s="20"/>
      <c r="C259" s="66" t="s">
        <v>300</v>
      </c>
      <c r="D259" s="66" t="s">
        <v>823</v>
      </c>
      <c r="E259" s="67" t="s">
        <v>824</v>
      </c>
      <c r="F259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59" s="68">
        <v>0.88</v>
      </c>
      <c r="H259" s="20" t="e">
        <f>DATEDIF(#REF!,#REF!,"y") &amp; " años " &amp; DATEDIF(#REF!,#REF!,"ym") &amp; " meses " &amp; DATEDIF(#REF!,#REF!,"md") &amp; " días"</f>
        <v>#REF!</v>
      </c>
      <c r="I259" s="20"/>
      <c r="J259" s="172"/>
      <c r="K259" s="179"/>
      <c r="L259" s="173"/>
      <c r="M259" s="69">
        <f>15600</f>
        <v>15600</v>
      </c>
      <c r="N259" s="26" t="s">
        <v>336</v>
      </c>
    </row>
    <row r="260" spans="1:18" s="7" customFormat="1" ht="45" customHeight="1" x14ac:dyDescent="0.25">
      <c r="A260" s="20">
        <v>54</v>
      </c>
      <c r="B260" s="20"/>
      <c r="C260" s="66" t="s">
        <v>300</v>
      </c>
      <c r="D260" s="66" t="s">
        <v>825</v>
      </c>
      <c r="E260" s="67" t="s">
        <v>826</v>
      </c>
      <c r="F260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60" s="68">
        <v>0.67500000000000004</v>
      </c>
      <c r="H260" s="20" t="e">
        <f>DATEDIF(#REF!,#REF!,"y") &amp; " años " &amp; DATEDIF(#REF!,#REF!,"ym") &amp; " meses " &amp; DATEDIF(#REF!,#REF!,"md") &amp; " días"</f>
        <v>#REF!</v>
      </c>
      <c r="I260" s="20"/>
      <c r="J260" s="172"/>
      <c r="K260" s="179"/>
      <c r="L260" s="173"/>
      <c r="M260" s="69">
        <f>10000</f>
        <v>10000</v>
      </c>
      <c r="N260" s="26" t="s">
        <v>336</v>
      </c>
    </row>
    <row r="261" spans="1:18" s="7" customFormat="1" ht="45" customHeight="1" x14ac:dyDescent="0.25">
      <c r="A261" s="20">
        <v>55</v>
      </c>
      <c r="B261" s="20"/>
      <c r="C261" s="66" t="s">
        <v>300</v>
      </c>
      <c r="D261" s="66" t="s">
        <v>827</v>
      </c>
      <c r="E261" s="67" t="s">
        <v>828</v>
      </c>
      <c r="F261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61" s="68">
        <v>0.67500000000000004</v>
      </c>
      <c r="H261" s="20" t="e">
        <f>DATEDIF(#REF!,#REF!,"y") &amp; " años " &amp; DATEDIF(#REF!,#REF!,"ym") &amp; " meses " &amp; DATEDIF(#REF!,#REF!,"md") &amp; " días"</f>
        <v>#REF!</v>
      </c>
      <c r="I261" s="20"/>
      <c r="J261" s="172"/>
      <c r="K261" s="179"/>
      <c r="L261" s="173"/>
      <c r="M261" s="69">
        <v>45000</v>
      </c>
      <c r="N261" s="26" t="s">
        <v>336</v>
      </c>
    </row>
    <row r="262" spans="1:18" s="7" customFormat="1" ht="45" customHeight="1" x14ac:dyDescent="0.25">
      <c r="A262" s="20">
        <v>56</v>
      </c>
      <c r="B262" s="20"/>
      <c r="C262" s="21" t="s">
        <v>295</v>
      </c>
      <c r="D262" s="22" t="s">
        <v>829</v>
      </c>
      <c r="E262" s="70" t="s">
        <v>830</v>
      </c>
      <c r="F262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62" s="24">
        <v>1</v>
      </c>
      <c r="H262" s="20" t="e">
        <f>DATEDIF(#REF!,#REF!,"y") &amp; " años " &amp; DATEDIF(#REF!,#REF!,"ym") &amp; " meses " &amp; DATEDIF(#REF!,#REF!,"md") &amp; " días"</f>
        <v>#REF!</v>
      </c>
      <c r="I262" s="20"/>
      <c r="J262" s="172"/>
      <c r="K262" s="179"/>
      <c r="L262" s="173"/>
      <c r="M262" s="26">
        <v>21000</v>
      </c>
      <c r="N262" s="26" t="s">
        <v>337</v>
      </c>
    </row>
    <row r="263" spans="1:18" s="7" customFormat="1" ht="45" customHeight="1" x14ac:dyDescent="0.25">
      <c r="A263" s="20">
        <v>57</v>
      </c>
      <c r="B263" s="67"/>
      <c r="C263" s="66" t="s">
        <v>230</v>
      </c>
      <c r="D263" s="66" t="s">
        <v>831</v>
      </c>
      <c r="E263" s="67" t="s">
        <v>832</v>
      </c>
      <c r="F263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63" s="68">
        <v>0.6</v>
      </c>
      <c r="H263" s="20" t="e">
        <f>DATEDIF(#REF!,#REF!,"y") &amp; " años " &amp; DATEDIF(#REF!,#REF!,"ym") &amp; " meses " &amp; DATEDIF(#REF!,#REF!,"md") &amp; " días"</f>
        <v>#REF!</v>
      </c>
      <c r="I263" s="20"/>
      <c r="J263" s="172"/>
      <c r="K263" s="179"/>
      <c r="L263" s="173"/>
      <c r="M263" s="69">
        <v>9820.6200000000008</v>
      </c>
      <c r="N263" s="26" t="s">
        <v>338</v>
      </c>
    </row>
    <row r="264" spans="1:18" s="7" customFormat="1" ht="45" customHeight="1" x14ac:dyDescent="0.25">
      <c r="A264" s="20">
        <v>58</v>
      </c>
      <c r="B264" s="67"/>
      <c r="C264" s="66" t="s">
        <v>230</v>
      </c>
      <c r="D264" s="66" t="s">
        <v>833</v>
      </c>
      <c r="E264" s="67" t="s">
        <v>834</v>
      </c>
      <c r="F264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64" s="68">
        <v>0.6</v>
      </c>
      <c r="H264" s="20" t="e">
        <f>DATEDIF(#REF!,#REF!,"y") &amp; " años " &amp; DATEDIF(#REF!,#REF!,"ym") &amp; " meses " &amp; DATEDIF(#REF!,#REF!,"md") &amp; " días"</f>
        <v>#REF!</v>
      </c>
      <c r="I264" s="20"/>
      <c r="J264" s="172"/>
      <c r="K264" s="179"/>
      <c r="L264" s="173"/>
      <c r="M264" s="69">
        <v>11000</v>
      </c>
      <c r="N264" s="26" t="s">
        <v>338</v>
      </c>
    </row>
    <row r="265" spans="1:18" s="7" customFormat="1" ht="45" customHeight="1" x14ac:dyDescent="0.25">
      <c r="A265" s="20">
        <v>59</v>
      </c>
      <c r="B265" s="67"/>
      <c r="C265" s="66" t="s">
        <v>230</v>
      </c>
      <c r="D265" s="66" t="s">
        <v>835</v>
      </c>
      <c r="E265" s="67" t="s">
        <v>836</v>
      </c>
      <c r="F265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65" s="68">
        <v>0.6</v>
      </c>
      <c r="H265" s="20" t="e">
        <f>DATEDIF(#REF!,#REF!,"y") &amp; " años " &amp; DATEDIF(#REF!,#REF!,"ym") &amp; " meses " &amp; DATEDIF(#REF!,#REF!,"md") &amp; " días"</f>
        <v>#REF!</v>
      </c>
      <c r="I265" s="20"/>
      <c r="J265" s="172"/>
      <c r="K265" s="179"/>
      <c r="L265" s="173"/>
      <c r="M265" s="69">
        <f>12000+4400</f>
        <v>16400</v>
      </c>
      <c r="N265" s="26" t="s">
        <v>338</v>
      </c>
    </row>
    <row r="266" spans="1:18" s="7" customFormat="1" ht="45" customHeight="1" x14ac:dyDescent="0.25">
      <c r="A266" s="20">
        <v>60</v>
      </c>
      <c r="B266" s="67"/>
      <c r="C266" s="66" t="s">
        <v>230</v>
      </c>
      <c r="D266" s="66" t="s">
        <v>837</v>
      </c>
      <c r="E266" s="67" t="s">
        <v>838</v>
      </c>
      <c r="F266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66" s="68">
        <v>0.65</v>
      </c>
      <c r="H266" s="20" t="e">
        <f>DATEDIF(#REF!,#REF!,"y") &amp; " años " &amp; DATEDIF(#REF!,#REF!,"ym") &amp; " meses " &amp; DATEDIF(#REF!,#REF!,"md") &amp; " días"</f>
        <v>#REF!</v>
      </c>
      <c r="I266" s="20"/>
      <c r="J266" s="172"/>
      <c r="K266" s="179"/>
      <c r="L266" s="173"/>
      <c r="M266" s="69">
        <v>21000</v>
      </c>
      <c r="N266" s="26" t="s">
        <v>338</v>
      </c>
    </row>
    <row r="267" spans="1:18" ht="12.75" customHeight="1" x14ac:dyDescent="0.2"/>
    <row r="268" spans="1:18" x14ac:dyDescent="0.2">
      <c r="A268" s="168" t="s">
        <v>316</v>
      </c>
      <c r="B268" s="168"/>
      <c r="C268" s="168"/>
      <c r="D268" s="168"/>
      <c r="E268" s="168"/>
      <c r="F268" s="168"/>
      <c r="G268" s="168"/>
      <c r="H268" s="168"/>
      <c r="I268" s="168"/>
      <c r="J268" s="168"/>
      <c r="K268" s="168"/>
      <c r="L268" s="168"/>
      <c r="M268" s="168"/>
      <c r="N268" s="168"/>
      <c r="O268" s="6"/>
      <c r="P268" s="6"/>
      <c r="Q268" s="6"/>
      <c r="R268" s="6"/>
    </row>
    <row r="269" spans="1:18" s="19" customFormat="1" ht="25.5" x14ac:dyDescent="0.2">
      <c r="A269" s="8" t="s">
        <v>4</v>
      </c>
      <c r="B269" s="8" t="s">
        <v>5</v>
      </c>
      <c r="C269" s="9" t="s">
        <v>6</v>
      </c>
      <c r="D269" s="9" t="s">
        <v>7</v>
      </c>
      <c r="E269" s="63" t="s">
        <v>8</v>
      </c>
      <c r="F269" s="64" t="s">
        <v>9</v>
      </c>
      <c r="G269" s="10" t="s">
        <v>10</v>
      </c>
      <c r="H269" s="9" t="s">
        <v>11</v>
      </c>
      <c r="I269" s="11" t="s">
        <v>12</v>
      </c>
      <c r="J269" s="166" t="s">
        <v>13</v>
      </c>
      <c r="K269" s="180"/>
      <c r="L269" s="167"/>
      <c r="M269" s="12" t="s">
        <v>14</v>
      </c>
      <c r="N269" s="13" t="s">
        <v>335</v>
      </c>
    </row>
    <row r="270" spans="1:18" s="7" customFormat="1" ht="45" customHeight="1" x14ac:dyDescent="0.25">
      <c r="A270" s="20">
        <v>1</v>
      </c>
      <c r="B270" s="20"/>
      <c r="C270" s="66" t="s">
        <v>300</v>
      </c>
      <c r="D270" s="66" t="s">
        <v>839</v>
      </c>
      <c r="E270" s="67" t="s">
        <v>840</v>
      </c>
      <c r="F270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70" s="68">
        <v>1</v>
      </c>
      <c r="H270" s="20" t="e">
        <f>DATEDIF(#REF!,#REF!,"y") &amp; " años " &amp; DATEDIF(#REF!,#REF!,"ym") &amp; " meses " &amp; DATEDIF(#REF!,#REF!,"md") &amp; " días"</f>
        <v>#REF!</v>
      </c>
      <c r="I270" s="20"/>
      <c r="J270" s="172"/>
      <c r="K270" s="179"/>
      <c r="L270" s="173"/>
      <c r="M270" s="69">
        <f>15871.13</f>
        <v>15871.13</v>
      </c>
      <c r="N270" s="26" t="s">
        <v>336</v>
      </c>
    </row>
    <row r="271" spans="1:18" s="7" customFormat="1" ht="45" customHeight="1" x14ac:dyDescent="0.25">
      <c r="A271" s="20">
        <v>2</v>
      </c>
      <c r="B271" s="20"/>
      <c r="C271" s="66" t="s">
        <v>300</v>
      </c>
      <c r="D271" s="66" t="s">
        <v>841</v>
      </c>
      <c r="E271" s="67" t="s">
        <v>842</v>
      </c>
      <c r="F271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71" s="68">
        <v>1</v>
      </c>
      <c r="H271" s="20" t="e">
        <f>DATEDIF(#REF!,#REF!,"y") &amp; " años " &amp; DATEDIF(#REF!,#REF!,"ym") &amp; " meses " &amp; DATEDIF(#REF!,#REF!,"md") &amp; " días"</f>
        <v>#REF!</v>
      </c>
      <c r="I271" s="20"/>
      <c r="J271" s="172"/>
      <c r="K271" s="179"/>
      <c r="L271" s="173"/>
      <c r="M271" s="69">
        <v>70000</v>
      </c>
      <c r="N271" s="26" t="s">
        <v>336</v>
      </c>
    </row>
    <row r="272" spans="1:18" s="7" customFormat="1" ht="45" customHeight="1" x14ac:dyDescent="0.25">
      <c r="A272" s="20">
        <v>3</v>
      </c>
      <c r="B272" s="20"/>
      <c r="C272" s="66" t="s">
        <v>300</v>
      </c>
      <c r="D272" s="66" t="s">
        <v>843</v>
      </c>
      <c r="E272" s="67" t="s">
        <v>844</v>
      </c>
      <c r="F272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72" s="68">
        <v>0.94</v>
      </c>
      <c r="H272" s="20" t="e">
        <f>DATEDIF(#REF!,#REF!,"y") &amp; " años " &amp; DATEDIF(#REF!,#REF!,"ym") &amp; " meses " &amp; DATEDIF(#REF!,#REF!,"md") &amp; " días"</f>
        <v>#REF!</v>
      </c>
      <c r="I272" s="20"/>
      <c r="J272" s="172"/>
      <c r="K272" s="179"/>
      <c r="L272" s="173"/>
      <c r="M272" s="69">
        <f>12138.51</f>
        <v>12138.51</v>
      </c>
      <c r="N272" s="26" t="s">
        <v>336</v>
      </c>
    </row>
    <row r="273" spans="1:14" s="7" customFormat="1" ht="45" customHeight="1" x14ac:dyDescent="0.25">
      <c r="A273" s="20">
        <v>4</v>
      </c>
      <c r="B273" s="20"/>
      <c r="C273" s="66" t="s">
        <v>300</v>
      </c>
      <c r="D273" s="66" t="s">
        <v>845</v>
      </c>
      <c r="E273" s="67" t="s">
        <v>846</v>
      </c>
      <c r="F273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73" s="68">
        <v>1</v>
      </c>
      <c r="H273" s="20" t="e">
        <f>DATEDIF(#REF!,#REF!,"y") &amp; " años " &amp; DATEDIF(#REF!,#REF!,"ym") &amp; " meses " &amp; DATEDIF(#REF!,#REF!,"md") &amp; " días"</f>
        <v>#REF!</v>
      </c>
      <c r="I273" s="20"/>
      <c r="J273" s="172"/>
      <c r="K273" s="179"/>
      <c r="L273" s="173"/>
      <c r="M273" s="69">
        <f>10000</f>
        <v>10000</v>
      </c>
      <c r="N273" s="26" t="s">
        <v>336</v>
      </c>
    </row>
    <row r="274" spans="1:14" s="7" customFormat="1" ht="45" customHeight="1" x14ac:dyDescent="0.25">
      <c r="A274" s="20">
        <v>5</v>
      </c>
      <c r="B274" s="20"/>
      <c r="C274" s="66" t="s">
        <v>300</v>
      </c>
      <c r="D274" s="66" t="s">
        <v>847</v>
      </c>
      <c r="E274" s="67" t="s">
        <v>848</v>
      </c>
      <c r="F274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74" s="68">
        <v>0.97</v>
      </c>
      <c r="H274" s="20" t="e">
        <f>DATEDIF(#REF!,#REF!,"y") &amp; " años " &amp; DATEDIF(#REF!,#REF!,"ym") &amp; " meses " &amp; DATEDIF(#REF!,#REF!,"md") &amp; " días"</f>
        <v>#REF!</v>
      </c>
      <c r="I274" s="20"/>
      <c r="J274" s="172"/>
      <c r="K274" s="179"/>
      <c r="L274" s="173"/>
      <c r="M274" s="69">
        <v>10000</v>
      </c>
      <c r="N274" s="26" t="s">
        <v>336</v>
      </c>
    </row>
    <row r="275" spans="1:14" s="7" customFormat="1" ht="45" customHeight="1" x14ac:dyDescent="0.25">
      <c r="A275" s="20">
        <v>6</v>
      </c>
      <c r="B275" s="20"/>
      <c r="C275" s="66" t="s">
        <v>300</v>
      </c>
      <c r="D275" s="66" t="s">
        <v>849</v>
      </c>
      <c r="E275" s="67" t="s">
        <v>850</v>
      </c>
      <c r="F275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75" s="68">
        <v>0.88</v>
      </c>
      <c r="H275" s="20" t="e">
        <f>DATEDIF(#REF!,#REF!,"y") &amp; " años " &amp; DATEDIF(#REF!,#REF!,"ym") &amp; " meses " &amp; DATEDIF(#REF!,#REF!,"md") &amp; " días"</f>
        <v>#REF!</v>
      </c>
      <c r="I275" s="20"/>
      <c r="J275" s="172"/>
      <c r="K275" s="179"/>
      <c r="L275" s="173"/>
      <c r="M275" s="69">
        <v>14300.98</v>
      </c>
      <c r="N275" s="26" t="s">
        <v>336</v>
      </c>
    </row>
    <row r="276" spans="1:14" s="7" customFormat="1" ht="45" customHeight="1" x14ac:dyDescent="0.25">
      <c r="A276" s="20">
        <v>7</v>
      </c>
      <c r="B276" s="20"/>
      <c r="C276" s="66" t="s">
        <v>300</v>
      </c>
      <c r="D276" s="66" t="s">
        <v>851</v>
      </c>
      <c r="E276" s="67" t="s">
        <v>852</v>
      </c>
      <c r="F276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76" s="68">
        <v>0.97</v>
      </c>
      <c r="H276" s="20" t="e">
        <f>DATEDIF(#REF!,#REF!,"y") &amp; " años " &amp; DATEDIF(#REF!,#REF!,"ym") &amp; " meses " &amp; DATEDIF(#REF!,#REF!,"md") &amp; " días"</f>
        <v>#REF!</v>
      </c>
      <c r="I276" s="20"/>
      <c r="J276" s="172"/>
      <c r="K276" s="179"/>
      <c r="L276" s="173"/>
      <c r="M276" s="69">
        <v>15600</v>
      </c>
      <c r="N276" s="26" t="s">
        <v>336</v>
      </c>
    </row>
    <row r="277" spans="1:14" s="7" customFormat="1" ht="45" customHeight="1" x14ac:dyDescent="0.25">
      <c r="A277" s="20">
        <v>8</v>
      </c>
      <c r="B277" s="67"/>
      <c r="C277" s="66" t="s">
        <v>300</v>
      </c>
      <c r="D277" s="66" t="s">
        <v>853</v>
      </c>
      <c r="E277" s="67" t="s">
        <v>854</v>
      </c>
      <c r="F277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77" s="68">
        <v>0.85</v>
      </c>
      <c r="H277" s="20" t="e">
        <f>DATEDIF(#REF!,#REF!,"y") &amp; " años " &amp; DATEDIF(#REF!,#REF!,"ym") &amp; " meses " &amp; DATEDIF(#REF!,#REF!,"md") &amp; " días"</f>
        <v>#REF!</v>
      </c>
      <c r="I277" s="20"/>
      <c r="J277" s="172"/>
      <c r="K277" s="179"/>
      <c r="L277" s="173"/>
      <c r="M277" s="69">
        <v>19250</v>
      </c>
      <c r="N277" s="26" t="s">
        <v>336</v>
      </c>
    </row>
    <row r="278" spans="1:14" s="7" customFormat="1" ht="45" customHeight="1" x14ac:dyDescent="0.25">
      <c r="A278" s="20">
        <v>9</v>
      </c>
      <c r="B278" s="20"/>
      <c r="C278" s="66" t="s">
        <v>300</v>
      </c>
      <c r="D278" s="66" t="s">
        <v>855</v>
      </c>
      <c r="E278" s="67" t="s">
        <v>856</v>
      </c>
      <c r="F278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78" s="68">
        <v>0.85</v>
      </c>
      <c r="H278" s="20" t="e">
        <f>DATEDIF(#REF!,#REF!,"y") &amp; " años " &amp; DATEDIF(#REF!,#REF!,"ym") &amp; " meses " &amp; DATEDIF(#REF!,#REF!,"md") &amp; " días"</f>
        <v>#REF!</v>
      </c>
      <c r="I278" s="20"/>
      <c r="J278" s="172"/>
      <c r="K278" s="179"/>
      <c r="L278" s="173"/>
      <c r="M278" s="69">
        <v>10000</v>
      </c>
      <c r="N278" s="26" t="s">
        <v>336</v>
      </c>
    </row>
    <row r="279" spans="1:14" s="7" customFormat="1" ht="45" customHeight="1" x14ac:dyDescent="0.25">
      <c r="A279" s="20">
        <v>10</v>
      </c>
      <c r="B279" s="20"/>
      <c r="C279" s="66" t="s">
        <v>300</v>
      </c>
      <c r="D279" s="66" t="s">
        <v>857</v>
      </c>
      <c r="E279" s="67" t="s">
        <v>858</v>
      </c>
      <c r="F279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79" s="68">
        <v>0.82499999999999996</v>
      </c>
      <c r="H279" s="20" t="e">
        <f>DATEDIF(#REF!,#REF!,"y") &amp; " años " &amp; DATEDIF(#REF!,#REF!,"ym") &amp; " meses " &amp; DATEDIF(#REF!,#REF!,"md") &amp; " días"</f>
        <v>#REF!</v>
      </c>
      <c r="I279" s="20"/>
      <c r="J279" s="172"/>
      <c r="K279" s="179"/>
      <c r="L279" s="173"/>
      <c r="M279" s="69">
        <v>25000</v>
      </c>
      <c r="N279" s="26" t="s">
        <v>336</v>
      </c>
    </row>
    <row r="280" spans="1:14" s="7" customFormat="1" ht="45" customHeight="1" x14ac:dyDescent="0.25">
      <c r="A280" s="20">
        <v>11</v>
      </c>
      <c r="B280" s="20"/>
      <c r="C280" s="66" t="s">
        <v>300</v>
      </c>
      <c r="D280" s="66" t="s">
        <v>859</v>
      </c>
      <c r="E280" s="67" t="s">
        <v>860</v>
      </c>
      <c r="F280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80" s="68">
        <v>0.85</v>
      </c>
      <c r="H280" s="20" t="e">
        <f>DATEDIF(#REF!,#REF!,"y") &amp; " años " &amp; DATEDIF(#REF!,#REF!,"ym") &amp; " meses " &amp; DATEDIF(#REF!,#REF!,"md") &amp; " días"</f>
        <v>#REF!</v>
      </c>
      <c r="I280" s="20"/>
      <c r="J280" s="172"/>
      <c r="K280" s="179"/>
      <c r="L280" s="173"/>
      <c r="M280" s="69">
        <v>14300</v>
      </c>
      <c r="N280" s="26" t="s">
        <v>336</v>
      </c>
    </row>
    <row r="281" spans="1:14" s="7" customFormat="1" ht="45" customHeight="1" x14ac:dyDescent="0.25">
      <c r="A281" s="20">
        <v>12</v>
      </c>
      <c r="B281" s="20"/>
      <c r="C281" s="66" t="s">
        <v>300</v>
      </c>
      <c r="D281" s="66" t="s">
        <v>861</v>
      </c>
      <c r="E281" s="67" t="s">
        <v>862</v>
      </c>
      <c r="F281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81" s="68">
        <v>0.91</v>
      </c>
      <c r="H281" s="20" t="e">
        <f>DATEDIF(#REF!,#REF!,"y") &amp; " años " &amp; DATEDIF(#REF!,#REF!,"ym") &amp; " meses " &amp; DATEDIF(#REF!,#REF!,"md") &amp; " días"</f>
        <v>#REF!</v>
      </c>
      <c r="I281" s="20"/>
      <c r="J281" s="172"/>
      <c r="K281" s="179"/>
      <c r="L281" s="173"/>
      <c r="M281" s="69">
        <f>15600</f>
        <v>15600</v>
      </c>
      <c r="N281" s="26" t="s">
        <v>336</v>
      </c>
    </row>
    <row r="282" spans="1:14" s="7" customFormat="1" ht="45" customHeight="1" x14ac:dyDescent="0.25">
      <c r="A282" s="20">
        <v>13</v>
      </c>
      <c r="B282" s="20"/>
      <c r="C282" s="66" t="s">
        <v>300</v>
      </c>
      <c r="D282" s="66" t="s">
        <v>863</v>
      </c>
      <c r="E282" s="67" t="s">
        <v>864</v>
      </c>
      <c r="F282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82" s="68">
        <v>1</v>
      </c>
      <c r="H282" s="20" t="e">
        <f>DATEDIF(#REF!,#REF!,"y") &amp; " años " &amp; DATEDIF(#REF!,#REF!,"ym") &amp; " meses " &amp; DATEDIF(#REF!,#REF!,"md") &amp; " días"</f>
        <v>#REF!</v>
      </c>
      <c r="I282" s="20"/>
      <c r="J282" s="172"/>
      <c r="K282" s="179"/>
      <c r="L282" s="173"/>
      <c r="M282" s="69">
        <v>10000</v>
      </c>
      <c r="N282" s="26" t="s">
        <v>336</v>
      </c>
    </row>
    <row r="283" spans="1:14" s="7" customFormat="1" ht="45" customHeight="1" x14ac:dyDescent="0.25">
      <c r="A283" s="20">
        <v>14</v>
      </c>
      <c r="B283" s="20"/>
      <c r="C283" s="66" t="s">
        <v>300</v>
      </c>
      <c r="D283" s="66" t="s">
        <v>865</v>
      </c>
      <c r="E283" s="67" t="s">
        <v>866</v>
      </c>
      <c r="F283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83" s="68">
        <v>0.75</v>
      </c>
      <c r="H283" s="20" t="e">
        <f>DATEDIF(#REF!,#REF!,"y") &amp; " años " &amp; DATEDIF(#REF!,#REF!,"ym") &amp; " meses " &amp; DATEDIF(#REF!,#REF!,"md") &amp; " días"</f>
        <v>#REF!</v>
      </c>
      <c r="I283" s="20"/>
      <c r="J283" s="172"/>
      <c r="K283" s="179"/>
      <c r="L283" s="173"/>
      <c r="M283" s="69">
        <f>22050+4400</f>
        <v>26450</v>
      </c>
      <c r="N283" s="26" t="s">
        <v>336</v>
      </c>
    </row>
    <row r="284" spans="1:14" s="7" customFormat="1" ht="45" customHeight="1" x14ac:dyDescent="0.25">
      <c r="A284" s="20">
        <v>15</v>
      </c>
      <c r="B284" s="20"/>
      <c r="C284" s="66" t="s">
        <v>300</v>
      </c>
      <c r="D284" s="66" t="s">
        <v>867</v>
      </c>
      <c r="E284" s="67" t="s">
        <v>868</v>
      </c>
      <c r="F284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84" s="68">
        <v>0.88</v>
      </c>
      <c r="H284" s="20" t="e">
        <f>DATEDIF(#REF!,#REF!,"y") &amp; " años " &amp; DATEDIF(#REF!,#REF!,"ym") &amp; " meses " &amp; DATEDIF(#REF!,#REF!,"md") &amp; " días"</f>
        <v>#REF!</v>
      </c>
      <c r="I284" s="20"/>
      <c r="J284" s="172"/>
      <c r="K284" s="179"/>
      <c r="L284" s="173"/>
      <c r="M284" s="69">
        <f>23546.25</f>
        <v>23546.25</v>
      </c>
      <c r="N284" s="26" t="s">
        <v>336</v>
      </c>
    </row>
    <row r="285" spans="1:14" s="7" customFormat="1" ht="45" customHeight="1" x14ac:dyDescent="0.25">
      <c r="A285" s="20">
        <v>16</v>
      </c>
      <c r="B285" s="20"/>
      <c r="C285" s="66" t="s">
        <v>300</v>
      </c>
      <c r="D285" s="66" t="s">
        <v>869</v>
      </c>
      <c r="E285" s="67" t="s">
        <v>870</v>
      </c>
      <c r="F285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85" s="68">
        <v>0.97</v>
      </c>
      <c r="H285" s="20" t="e">
        <f>DATEDIF(#REF!,#REF!,"y") &amp; " años " &amp; DATEDIF(#REF!,#REF!,"ym") &amp; " meses " &amp; DATEDIF(#REF!,#REF!,"md") &amp; " días"</f>
        <v>#REF!</v>
      </c>
      <c r="I285" s="20"/>
      <c r="J285" s="172"/>
      <c r="K285" s="179"/>
      <c r="L285" s="173"/>
      <c r="M285" s="69">
        <f>23546.25</f>
        <v>23546.25</v>
      </c>
      <c r="N285" s="26" t="s">
        <v>336</v>
      </c>
    </row>
    <row r="286" spans="1:14" s="7" customFormat="1" ht="45" customHeight="1" x14ac:dyDescent="0.25">
      <c r="A286" s="20">
        <v>17</v>
      </c>
      <c r="B286" s="20"/>
      <c r="C286" s="66" t="s">
        <v>300</v>
      </c>
      <c r="D286" s="66" t="s">
        <v>871</v>
      </c>
      <c r="E286" s="67" t="s">
        <v>872</v>
      </c>
      <c r="F286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86" s="68">
        <v>0.85</v>
      </c>
      <c r="H286" s="20" t="e">
        <f>DATEDIF(#REF!,#REF!,"y") &amp; " años " &amp; DATEDIF(#REF!,#REF!,"ym") &amp; " meses " &amp; DATEDIF(#REF!,#REF!,"md") &amp; " días"</f>
        <v>#REF!</v>
      </c>
      <c r="I286" s="20"/>
      <c r="J286" s="172"/>
      <c r="K286" s="179"/>
      <c r="L286" s="173"/>
      <c r="M286" s="69">
        <v>65000</v>
      </c>
      <c r="N286" s="26" t="s">
        <v>336</v>
      </c>
    </row>
    <row r="287" spans="1:14" s="7" customFormat="1" ht="45" customHeight="1" x14ac:dyDescent="0.25">
      <c r="A287" s="20">
        <v>18</v>
      </c>
      <c r="B287" s="20"/>
      <c r="C287" s="66" t="s">
        <v>300</v>
      </c>
      <c r="D287" s="66" t="s">
        <v>873</v>
      </c>
      <c r="E287" s="67" t="s">
        <v>874</v>
      </c>
      <c r="F287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87" s="68">
        <v>0.82499999999999996</v>
      </c>
      <c r="H287" s="20" t="e">
        <f>DATEDIF(#REF!,#REF!,"y") &amp; " años " &amp; DATEDIF(#REF!,#REF!,"ym") &amp; " meses " &amp; DATEDIF(#REF!,#REF!,"md") &amp; " días"</f>
        <v>#REF!</v>
      </c>
      <c r="I287" s="20"/>
      <c r="J287" s="172"/>
      <c r="K287" s="179"/>
      <c r="L287" s="173"/>
      <c r="M287" s="69">
        <f>23546.25</f>
        <v>23546.25</v>
      </c>
      <c r="N287" s="26" t="s">
        <v>336</v>
      </c>
    </row>
    <row r="288" spans="1:14" s="7" customFormat="1" ht="45" customHeight="1" x14ac:dyDescent="0.25">
      <c r="A288" s="20">
        <v>19</v>
      </c>
      <c r="B288" s="20"/>
      <c r="C288" s="21" t="s">
        <v>300</v>
      </c>
      <c r="D288" s="22" t="s">
        <v>875</v>
      </c>
      <c r="E288" s="70" t="s">
        <v>876</v>
      </c>
      <c r="F288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88" s="72">
        <v>0.82499999999999996</v>
      </c>
      <c r="H288" s="20" t="e">
        <f>DATEDIF(#REF!,#REF!,"y") &amp; " años " &amp; DATEDIF(#REF!,#REF!,"ym") &amp; " meses " &amp; DATEDIF(#REF!,#REF!,"md") &amp; " días"</f>
        <v>#REF!</v>
      </c>
      <c r="I288" s="20"/>
      <c r="J288" s="172"/>
      <c r="K288" s="179"/>
      <c r="L288" s="173"/>
      <c r="M288" s="26">
        <v>11000</v>
      </c>
      <c r="N288" s="26" t="s">
        <v>337</v>
      </c>
    </row>
    <row r="289" spans="1:23" s="7" customFormat="1" ht="45" customHeight="1" x14ac:dyDescent="0.25">
      <c r="A289" s="20">
        <v>20</v>
      </c>
      <c r="B289" s="67"/>
      <c r="C289" s="66" t="s">
        <v>230</v>
      </c>
      <c r="D289" s="66" t="s">
        <v>877</v>
      </c>
      <c r="E289" s="67" t="s">
        <v>878</v>
      </c>
      <c r="F289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89" s="68">
        <v>0.6</v>
      </c>
      <c r="H289" s="20" t="e">
        <f>DATEDIF(#REF!,#REF!,"y") &amp; " años " &amp; DATEDIF(#REF!,#REF!,"ym") &amp; " meses " &amp; DATEDIF(#REF!,#REF!,"md") &amp; " días"</f>
        <v>#REF!</v>
      </c>
      <c r="I289" s="20"/>
      <c r="J289" s="172"/>
      <c r="K289" s="179"/>
      <c r="L289" s="173"/>
      <c r="M289" s="69">
        <v>6546.14</v>
      </c>
      <c r="N289" s="26" t="s">
        <v>338</v>
      </c>
    </row>
    <row r="290" spans="1:23" s="7" customFormat="1" ht="45" customHeight="1" x14ac:dyDescent="0.25">
      <c r="A290" s="20">
        <v>21</v>
      </c>
      <c r="B290" s="67"/>
      <c r="C290" s="66" t="s">
        <v>230</v>
      </c>
      <c r="D290" s="66" t="s">
        <v>879</v>
      </c>
      <c r="E290" s="67" t="s">
        <v>880</v>
      </c>
      <c r="F290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90" s="68">
        <v>0.6</v>
      </c>
      <c r="H290" s="20" t="e">
        <f>DATEDIF(#REF!,#REF!,"y") &amp; " años " &amp; DATEDIF(#REF!,#REF!,"ym") &amp; " meses " &amp; DATEDIF(#REF!,#REF!,"md") &amp; " días"</f>
        <v>#REF!</v>
      </c>
      <c r="I290" s="20"/>
      <c r="J290" s="172"/>
      <c r="K290" s="179"/>
      <c r="L290" s="173"/>
      <c r="M290" s="69">
        <v>8538.86</v>
      </c>
      <c r="N290" s="26" t="s">
        <v>338</v>
      </c>
    </row>
    <row r="291" spans="1:23" s="7" customFormat="1" ht="45" customHeight="1" x14ac:dyDescent="0.25">
      <c r="A291" s="20">
        <v>22</v>
      </c>
      <c r="B291" s="67"/>
      <c r="C291" s="66" t="s">
        <v>230</v>
      </c>
      <c r="D291" s="66" t="s">
        <v>881</v>
      </c>
      <c r="E291" s="67" t="s">
        <v>882</v>
      </c>
      <c r="F291" s="25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91" s="68">
        <v>0.6</v>
      </c>
      <c r="H291" s="20" t="e">
        <f>DATEDIF(#REF!,#REF!,"y") &amp; " años " &amp; DATEDIF(#REF!,#REF!,"ym") &amp; " meses " &amp; DATEDIF(#REF!,#REF!,"md") &amp; " días"</f>
        <v>#REF!</v>
      </c>
      <c r="I291" s="20"/>
      <c r="J291" s="172"/>
      <c r="K291" s="179"/>
      <c r="L291" s="173"/>
      <c r="M291" s="69">
        <v>11170.53</v>
      </c>
      <c r="N291" s="26" t="s">
        <v>338</v>
      </c>
    </row>
    <row r="292" spans="1:23" s="5" customFormat="1" x14ac:dyDescent="0.2">
      <c r="A292" s="33"/>
      <c r="B292" s="34"/>
      <c r="C292" s="35"/>
      <c r="D292" s="36"/>
      <c r="E292" s="36"/>
      <c r="F292" s="37"/>
      <c r="G292" s="38"/>
      <c r="H292" s="38"/>
      <c r="I292" s="39"/>
      <c r="J292" s="40"/>
      <c r="K292" s="4"/>
      <c r="L292" s="4"/>
      <c r="M292" s="4"/>
      <c r="N292" s="4"/>
    </row>
    <row r="293" spans="1:23" s="5" customFormat="1" x14ac:dyDescent="0.2">
      <c r="A293" s="33"/>
      <c r="B293" s="34"/>
      <c r="C293" s="35"/>
      <c r="D293" s="36"/>
      <c r="E293" s="36"/>
      <c r="F293" s="37"/>
      <c r="G293" s="38"/>
      <c r="H293" s="38"/>
      <c r="I293" s="39"/>
      <c r="J293" s="40"/>
      <c r="K293" s="4"/>
      <c r="L293" s="4"/>
      <c r="M293" s="4"/>
      <c r="N293" s="4"/>
      <c r="V293" s="1"/>
    </row>
    <row r="294" spans="1:23" s="5" customFormat="1" x14ac:dyDescent="0.2">
      <c r="A294" s="33"/>
      <c r="B294" s="34"/>
      <c r="C294" s="35"/>
      <c r="D294" s="36"/>
      <c r="E294" s="36"/>
      <c r="F294" s="37"/>
      <c r="G294" s="38"/>
      <c r="H294" s="38"/>
      <c r="I294" s="39"/>
      <c r="J294" s="40"/>
      <c r="K294" s="4"/>
      <c r="L294" s="4"/>
      <c r="M294" s="4"/>
      <c r="N294" s="4"/>
      <c r="W294" s="41"/>
    </row>
    <row r="295" spans="1:23" s="5" customFormat="1" x14ac:dyDescent="0.2">
      <c r="A295" s="33"/>
      <c r="B295" s="34"/>
      <c r="C295" s="35"/>
      <c r="D295" s="36"/>
      <c r="E295" s="36"/>
      <c r="F295" s="37"/>
      <c r="G295" s="38"/>
      <c r="H295" s="38"/>
      <c r="I295" s="39"/>
      <c r="J295" s="40"/>
      <c r="K295" s="4"/>
      <c r="L295" s="4"/>
      <c r="M295" s="4"/>
      <c r="N295" s="4"/>
    </row>
    <row r="296" spans="1:23" s="5" customFormat="1" x14ac:dyDescent="0.2">
      <c r="A296" s="33"/>
      <c r="B296" s="34"/>
      <c r="C296" s="35"/>
      <c r="D296" s="36"/>
      <c r="E296" s="36"/>
      <c r="F296" s="37"/>
      <c r="G296" s="38"/>
      <c r="H296" s="38"/>
      <c r="I296" s="39"/>
      <c r="J296" s="40"/>
      <c r="K296" s="4"/>
      <c r="L296" s="4"/>
      <c r="M296" s="4"/>
      <c r="N296" s="4"/>
    </row>
    <row r="297" spans="1:23" s="5" customFormat="1" x14ac:dyDescent="0.2">
      <c r="A297" s="174" t="s">
        <v>330</v>
      </c>
      <c r="B297" s="174"/>
      <c r="C297" s="174"/>
      <c r="D297" s="174"/>
      <c r="E297" s="174"/>
      <c r="F297" s="174"/>
      <c r="G297" s="174"/>
      <c r="H297" s="174"/>
      <c r="I297" s="174"/>
      <c r="J297" s="174"/>
      <c r="K297" s="174"/>
      <c r="L297" s="174"/>
      <c r="M297" s="174"/>
      <c r="N297" s="174"/>
    </row>
    <row r="298" spans="1:23" s="5" customFormat="1" x14ac:dyDescent="0.2">
      <c r="A298" s="175" t="s">
        <v>331</v>
      </c>
      <c r="B298" s="175"/>
      <c r="C298" s="175"/>
      <c r="D298" s="175"/>
      <c r="E298" s="175"/>
      <c r="F298" s="175"/>
      <c r="G298" s="175"/>
      <c r="H298" s="175"/>
      <c r="I298" s="175"/>
      <c r="J298" s="175"/>
      <c r="K298" s="175"/>
      <c r="L298" s="175"/>
      <c r="M298" s="175"/>
      <c r="N298" s="175"/>
    </row>
    <row r="299" spans="1:23" s="5" customFormat="1" x14ac:dyDescent="0.2">
      <c r="A299" s="175" t="s">
        <v>332</v>
      </c>
      <c r="B299" s="175"/>
      <c r="C299" s="175"/>
      <c r="D299" s="175"/>
      <c r="E299" s="175"/>
      <c r="F299" s="175"/>
      <c r="G299" s="175"/>
      <c r="H299" s="175"/>
      <c r="I299" s="175"/>
      <c r="J299" s="175"/>
      <c r="K299" s="175"/>
      <c r="L299" s="175"/>
      <c r="M299" s="175"/>
      <c r="N299" s="175"/>
    </row>
    <row r="300" spans="1:23" s="5" customFormat="1" x14ac:dyDescent="0.2">
      <c r="A300" s="42"/>
      <c r="B300" s="42"/>
      <c r="C300" s="42"/>
      <c r="D300" s="42"/>
      <c r="E300" s="42"/>
      <c r="F300" s="42"/>
      <c r="G300" s="43"/>
      <c r="H300" s="43"/>
      <c r="I300" s="44"/>
    </row>
    <row r="301" spans="1:23" s="52" customFormat="1" ht="12.75" customHeight="1" x14ac:dyDescent="0.25">
      <c r="A301" s="45" t="s">
        <v>333</v>
      </c>
      <c r="B301" s="46"/>
      <c r="C301" s="46"/>
      <c r="D301" s="47"/>
      <c r="E301" s="48"/>
      <c r="F301" s="49"/>
      <c r="G301" s="50"/>
      <c r="H301" s="50"/>
      <c r="I301" s="51"/>
    </row>
    <row r="302" spans="1:23" s="52" customFormat="1" ht="9.75" customHeight="1" x14ac:dyDescent="0.25">
      <c r="A302" s="53" t="s">
        <v>334</v>
      </c>
      <c r="B302" s="46"/>
      <c r="C302" s="46"/>
      <c r="D302" s="47"/>
      <c r="E302" s="48"/>
      <c r="F302" s="49"/>
      <c r="G302" s="50"/>
      <c r="H302" s="50"/>
      <c r="I302" s="51"/>
    </row>
    <row r="303" spans="1:23" ht="56.25" customHeight="1" x14ac:dyDescent="0.2">
      <c r="F303" s="1"/>
    </row>
    <row r="304" spans="1:23" ht="12.75" customHeight="1" x14ac:dyDescent="0.2">
      <c r="F304" s="1"/>
    </row>
    <row r="305" spans="6:6" x14ac:dyDescent="0.2">
      <c r="F305" s="1"/>
    </row>
    <row r="306" spans="6:6" x14ac:dyDescent="0.2">
      <c r="F306" s="1"/>
    </row>
    <row r="307" spans="6:6" ht="56.25" customHeight="1" x14ac:dyDescent="0.2">
      <c r="F307" s="1"/>
    </row>
    <row r="308" spans="6:6" ht="12.75" customHeight="1" x14ac:dyDescent="0.2">
      <c r="F308" s="1"/>
    </row>
    <row r="309" spans="6:6" ht="12.75" customHeight="1" x14ac:dyDescent="0.2">
      <c r="F309" s="1"/>
    </row>
    <row r="310" spans="6:6" x14ac:dyDescent="0.2">
      <c r="F310" s="1"/>
    </row>
    <row r="311" spans="6:6" x14ac:dyDescent="0.2">
      <c r="F311" s="1"/>
    </row>
    <row r="312" spans="6:6" x14ac:dyDescent="0.2">
      <c r="F312" s="1"/>
    </row>
    <row r="313" spans="6:6" ht="56.25" customHeight="1" x14ac:dyDescent="0.2">
      <c r="F313" s="1"/>
    </row>
    <row r="314" spans="6:6" ht="12.75" customHeight="1" x14ac:dyDescent="0.2">
      <c r="F314" s="1"/>
    </row>
    <row r="315" spans="6:6" ht="12.75" hidden="1" customHeight="1" x14ac:dyDescent="0.2">
      <c r="F315" s="1"/>
    </row>
    <row r="316" spans="6:6" ht="27" hidden="1" customHeight="1" x14ac:dyDescent="0.2">
      <c r="F316" s="1"/>
    </row>
    <row r="317" spans="6:6" ht="140.25" hidden="1" customHeight="1" x14ac:dyDescent="0.2">
      <c r="F317" s="1"/>
    </row>
    <row r="318" spans="6:6" ht="90" hidden="1" customHeight="1" x14ac:dyDescent="0.2">
      <c r="F318" s="1"/>
    </row>
    <row r="319" spans="6:6" ht="12.75" hidden="1" customHeight="1" x14ac:dyDescent="0.2">
      <c r="F319" s="1"/>
    </row>
    <row r="320" spans="6:6" ht="12.75" customHeight="1" x14ac:dyDescent="0.2">
      <c r="F320" s="1"/>
    </row>
    <row r="321" spans="6:6" x14ac:dyDescent="0.2">
      <c r="F321" s="1"/>
    </row>
    <row r="322" spans="6:6" x14ac:dyDescent="0.2">
      <c r="F322" s="1"/>
    </row>
    <row r="323" spans="6:6" x14ac:dyDescent="0.2">
      <c r="F323" s="1"/>
    </row>
    <row r="324" spans="6:6" x14ac:dyDescent="0.2">
      <c r="F324" s="1"/>
    </row>
    <row r="325" spans="6:6" x14ac:dyDescent="0.2">
      <c r="F325" s="1"/>
    </row>
    <row r="326" spans="6:6" x14ac:dyDescent="0.2">
      <c r="F326" s="1"/>
    </row>
    <row r="327" spans="6:6" ht="56.25" customHeight="1" x14ac:dyDescent="0.2">
      <c r="F327" s="1"/>
    </row>
    <row r="328" spans="6:6" ht="90" customHeight="1" x14ac:dyDescent="0.2">
      <c r="F328" s="1"/>
    </row>
    <row r="329" spans="6:6" x14ac:dyDescent="0.2">
      <c r="F329" s="1"/>
    </row>
    <row r="330" spans="6:6" x14ac:dyDescent="0.2">
      <c r="F330" s="1"/>
    </row>
    <row r="331" spans="6:6" x14ac:dyDescent="0.2">
      <c r="F331" s="1"/>
    </row>
    <row r="332" spans="6:6" x14ac:dyDescent="0.2">
      <c r="F332" s="1"/>
    </row>
    <row r="333" spans="6:6" x14ac:dyDescent="0.2">
      <c r="F333" s="1"/>
    </row>
    <row r="334" spans="6:6" x14ac:dyDescent="0.2">
      <c r="F334" s="1"/>
    </row>
    <row r="335" spans="6:6" x14ac:dyDescent="0.2">
      <c r="F335" s="1"/>
    </row>
    <row r="336" spans="6:6" x14ac:dyDescent="0.2">
      <c r="F336" s="1"/>
    </row>
    <row r="337" spans="6:6" ht="56.25" customHeight="1" x14ac:dyDescent="0.2">
      <c r="F337" s="1"/>
    </row>
    <row r="338" spans="6:6" ht="90" customHeight="1" x14ac:dyDescent="0.2">
      <c r="F338" s="1"/>
    </row>
    <row r="339" spans="6:6" ht="90" customHeight="1" x14ac:dyDescent="0.2">
      <c r="F339" s="1"/>
    </row>
    <row r="340" spans="6:6" x14ac:dyDescent="0.2">
      <c r="F340" s="1"/>
    </row>
    <row r="341" spans="6:6" x14ac:dyDescent="0.2">
      <c r="F341" s="1"/>
    </row>
    <row r="342" spans="6:6" x14ac:dyDescent="0.2">
      <c r="F342" s="1"/>
    </row>
    <row r="343" spans="6:6" x14ac:dyDescent="0.2">
      <c r="F343" s="1"/>
    </row>
    <row r="344" spans="6:6" x14ac:dyDescent="0.2">
      <c r="F344" s="1"/>
    </row>
    <row r="345" spans="6:6" ht="90" customHeight="1" x14ac:dyDescent="0.2">
      <c r="F345" s="1"/>
    </row>
    <row r="346" spans="6:6" ht="90" customHeight="1" x14ac:dyDescent="0.2">
      <c r="F346" s="1"/>
    </row>
    <row r="347" spans="6:6" x14ac:dyDescent="0.2">
      <c r="F347" s="1"/>
    </row>
    <row r="348" spans="6:6" ht="90" customHeight="1" x14ac:dyDescent="0.2">
      <c r="F348" s="1"/>
    </row>
    <row r="349" spans="6:6" x14ac:dyDescent="0.2">
      <c r="F349" s="1"/>
    </row>
    <row r="350" spans="6:6" ht="90" customHeight="1" x14ac:dyDescent="0.2">
      <c r="F350" s="1"/>
    </row>
    <row r="351" spans="6:6" x14ac:dyDescent="0.2">
      <c r="F351" s="1"/>
    </row>
    <row r="352" spans="6:6" ht="90" customHeight="1" x14ac:dyDescent="0.2">
      <c r="F352" s="1"/>
    </row>
    <row r="353" spans="6:6" ht="90" customHeight="1" x14ac:dyDescent="0.2">
      <c r="F353" s="1"/>
    </row>
    <row r="354" spans="6:6" ht="90" customHeight="1" x14ac:dyDescent="0.2">
      <c r="F354" s="1"/>
    </row>
    <row r="355" spans="6:6" ht="90" customHeight="1" x14ac:dyDescent="0.2">
      <c r="F355" s="1"/>
    </row>
    <row r="356" spans="6:6" ht="90" customHeight="1" x14ac:dyDescent="0.2">
      <c r="F356" s="1"/>
    </row>
    <row r="357" spans="6:6" ht="90" customHeight="1" x14ac:dyDescent="0.2">
      <c r="F357" s="1"/>
    </row>
    <row r="358" spans="6:6" ht="90" customHeight="1" x14ac:dyDescent="0.2">
      <c r="F358" s="1"/>
    </row>
    <row r="359" spans="6:6" ht="90" customHeight="1" x14ac:dyDescent="0.2">
      <c r="F359" s="1"/>
    </row>
    <row r="360" spans="6:6" x14ac:dyDescent="0.2">
      <c r="F360" s="1"/>
    </row>
    <row r="361" spans="6:6" x14ac:dyDescent="0.2">
      <c r="F361" s="1"/>
    </row>
    <row r="362" spans="6:6" ht="90" customHeight="1" x14ac:dyDescent="0.2">
      <c r="F362" s="1"/>
    </row>
    <row r="363" spans="6:6" x14ac:dyDescent="0.2">
      <c r="F363" s="1"/>
    </row>
    <row r="364" spans="6:6" x14ac:dyDescent="0.2">
      <c r="F364" s="1"/>
    </row>
    <row r="365" spans="6:6" x14ac:dyDescent="0.2">
      <c r="F365" s="1"/>
    </row>
    <row r="366" spans="6:6" x14ac:dyDescent="0.2">
      <c r="F366" s="1"/>
    </row>
    <row r="367" spans="6:6" x14ac:dyDescent="0.2">
      <c r="F367" s="1"/>
    </row>
    <row r="368" spans="6:6" ht="96.75" customHeight="1" x14ac:dyDescent="0.2">
      <c r="F368" s="1"/>
    </row>
    <row r="369" spans="6:6" ht="96.75" customHeight="1" x14ac:dyDescent="0.2">
      <c r="F369" s="1"/>
    </row>
    <row r="370" spans="6:6" x14ac:dyDescent="0.2">
      <c r="F370" s="1"/>
    </row>
    <row r="371" spans="6:6" x14ac:dyDescent="0.2">
      <c r="F371" s="1"/>
    </row>
    <row r="372" spans="6:6" x14ac:dyDescent="0.2">
      <c r="F372" s="1"/>
    </row>
    <row r="373" spans="6:6" x14ac:dyDescent="0.2">
      <c r="F373" s="1"/>
    </row>
    <row r="374" spans="6:6" x14ac:dyDescent="0.2">
      <c r="F374" s="1"/>
    </row>
    <row r="375" spans="6:6" x14ac:dyDescent="0.2">
      <c r="F375" s="1"/>
    </row>
    <row r="376" spans="6:6" x14ac:dyDescent="0.2">
      <c r="F376" s="1"/>
    </row>
    <row r="377" spans="6:6" x14ac:dyDescent="0.2">
      <c r="F377" s="1"/>
    </row>
    <row r="378" spans="6:6" x14ac:dyDescent="0.2">
      <c r="F378" s="1"/>
    </row>
    <row r="379" spans="6:6" x14ac:dyDescent="0.2">
      <c r="F379" s="1"/>
    </row>
    <row r="380" spans="6:6" x14ac:dyDescent="0.2">
      <c r="F380" s="1"/>
    </row>
    <row r="381" spans="6:6" x14ac:dyDescent="0.2">
      <c r="F381" s="1"/>
    </row>
    <row r="382" spans="6:6" x14ac:dyDescent="0.2">
      <c r="F382" s="1"/>
    </row>
    <row r="383" spans="6:6" x14ac:dyDescent="0.2">
      <c r="F383" s="1"/>
    </row>
    <row r="384" spans="6:6" x14ac:dyDescent="0.2">
      <c r="F384" s="1"/>
    </row>
    <row r="385" spans="6:6" x14ac:dyDescent="0.2">
      <c r="F385" s="1"/>
    </row>
    <row r="386" spans="6:6" x14ac:dyDescent="0.2">
      <c r="F386" s="1"/>
    </row>
    <row r="387" spans="6:6" x14ac:dyDescent="0.2">
      <c r="F387" s="1"/>
    </row>
    <row r="388" spans="6:6" x14ac:dyDescent="0.2">
      <c r="F388" s="1"/>
    </row>
    <row r="389" spans="6:6" x14ac:dyDescent="0.2">
      <c r="F389" s="1"/>
    </row>
    <row r="390" spans="6:6" x14ac:dyDescent="0.2">
      <c r="F390" s="1"/>
    </row>
    <row r="391" spans="6:6" x14ac:dyDescent="0.2">
      <c r="F391" s="1"/>
    </row>
    <row r="392" spans="6:6" x14ac:dyDescent="0.2">
      <c r="F392" s="1"/>
    </row>
    <row r="393" spans="6:6" x14ac:dyDescent="0.2">
      <c r="F393" s="1"/>
    </row>
    <row r="394" spans="6:6" x14ac:dyDescent="0.2">
      <c r="F394" s="1"/>
    </row>
    <row r="395" spans="6:6" x14ac:dyDescent="0.2">
      <c r="F395" s="1"/>
    </row>
    <row r="396" spans="6:6" x14ac:dyDescent="0.2">
      <c r="F396" s="1"/>
    </row>
    <row r="397" spans="6:6" x14ac:dyDescent="0.2">
      <c r="F397" s="1"/>
    </row>
    <row r="398" spans="6:6" x14ac:dyDescent="0.2">
      <c r="F398" s="1"/>
    </row>
    <row r="399" spans="6:6" x14ac:dyDescent="0.2">
      <c r="F399" s="1"/>
    </row>
    <row r="400" spans="6:6" x14ac:dyDescent="0.2">
      <c r="F400" s="1"/>
    </row>
    <row r="401" spans="6:6" x14ac:dyDescent="0.2">
      <c r="F401" s="1"/>
    </row>
    <row r="402" spans="6:6" x14ac:dyDescent="0.2">
      <c r="F402" s="1"/>
    </row>
    <row r="403" spans="6:6" x14ac:dyDescent="0.2">
      <c r="F403" s="1"/>
    </row>
    <row r="404" spans="6:6" x14ac:dyDescent="0.2">
      <c r="F404" s="1"/>
    </row>
    <row r="405" spans="6:6" x14ac:dyDescent="0.2">
      <c r="F405" s="1"/>
    </row>
    <row r="406" spans="6:6" x14ac:dyDescent="0.2">
      <c r="F406" s="1"/>
    </row>
    <row r="407" spans="6:6" x14ac:dyDescent="0.2">
      <c r="F407" s="1"/>
    </row>
    <row r="408" spans="6:6" x14ac:dyDescent="0.2">
      <c r="F408" s="1"/>
    </row>
    <row r="409" spans="6:6" x14ac:dyDescent="0.2">
      <c r="F409" s="1"/>
    </row>
    <row r="410" spans="6:6" x14ac:dyDescent="0.2">
      <c r="F410" s="1"/>
    </row>
    <row r="411" spans="6:6" x14ac:dyDescent="0.2">
      <c r="F411" s="1"/>
    </row>
    <row r="412" spans="6:6" x14ac:dyDescent="0.2">
      <c r="F412" s="1"/>
    </row>
    <row r="413" spans="6:6" x14ac:dyDescent="0.2">
      <c r="F413" s="1"/>
    </row>
    <row r="414" spans="6:6" x14ac:dyDescent="0.2">
      <c r="F414" s="1"/>
    </row>
    <row r="415" spans="6:6" x14ac:dyDescent="0.2">
      <c r="F415" s="1"/>
    </row>
    <row r="416" spans="6:6" x14ac:dyDescent="0.2">
      <c r="F416" s="1"/>
    </row>
    <row r="417" spans="6:6" x14ac:dyDescent="0.2">
      <c r="F417" s="1"/>
    </row>
    <row r="418" spans="6:6" x14ac:dyDescent="0.2">
      <c r="F418" s="1"/>
    </row>
    <row r="419" spans="6:6" x14ac:dyDescent="0.2">
      <c r="F419" s="1"/>
    </row>
    <row r="420" spans="6:6" x14ac:dyDescent="0.2">
      <c r="F420" s="1"/>
    </row>
    <row r="421" spans="6:6" x14ac:dyDescent="0.2">
      <c r="F421" s="1"/>
    </row>
    <row r="422" spans="6:6" x14ac:dyDescent="0.2">
      <c r="F422" s="1"/>
    </row>
    <row r="423" spans="6:6" x14ac:dyDescent="0.2">
      <c r="F423" s="1"/>
    </row>
    <row r="424" spans="6:6" x14ac:dyDescent="0.2">
      <c r="F424" s="1"/>
    </row>
    <row r="425" spans="6:6" x14ac:dyDescent="0.2">
      <c r="F425" s="1"/>
    </row>
    <row r="426" spans="6:6" x14ac:dyDescent="0.2">
      <c r="F426" s="1"/>
    </row>
    <row r="427" spans="6:6" x14ac:dyDescent="0.2">
      <c r="F427" s="1"/>
    </row>
    <row r="428" spans="6:6" x14ac:dyDescent="0.2">
      <c r="F428" s="1"/>
    </row>
    <row r="429" spans="6:6" x14ac:dyDescent="0.2">
      <c r="F429" s="1"/>
    </row>
    <row r="430" spans="6:6" x14ac:dyDescent="0.2">
      <c r="F430" s="1"/>
    </row>
    <row r="431" spans="6:6" x14ac:dyDescent="0.2">
      <c r="F431" s="1"/>
    </row>
    <row r="432" spans="6:6" x14ac:dyDescent="0.2">
      <c r="F432" s="1"/>
    </row>
    <row r="433" spans="6:6" x14ac:dyDescent="0.2">
      <c r="F433" s="1"/>
    </row>
    <row r="434" spans="6:6" x14ac:dyDescent="0.2">
      <c r="F434" s="1"/>
    </row>
    <row r="435" spans="6:6" x14ac:dyDescent="0.2">
      <c r="F435" s="1"/>
    </row>
    <row r="436" spans="6:6" x14ac:dyDescent="0.2">
      <c r="F436" s="1"/>
    </row>
    <row r="437" spans="6:6" x14ac:dyDescent="0.2">
      <c r="F437" s="1"/>
    </row>
    <row r="438" spans="6:6" x14ac:dyDescent="0.2">
      <c r="F438" s="1"/>
    </row>
    <row r="439" spans="6:6" x14ac:dyDescent="0.2">
      <c r="F439" s="1"/>
    </row>
    <row r="440" spans="6:6" x14ac:dyDescent="0.2">
      <c r="F440" s="1"/>
    </row>
    <row r="441" spans="6:6" x14ac:dyDescent="0.2">
      <c r="F441" s="1"/>
    </row>
    <row r="442" spans="6:6" x14ac:dyDescent="0.2">
      <c r="F442" s="1"/>
    </row>
    <row r="443" spans="6:6" x14ac:dyDescent="0.2">
      <c r="F443" s="1"/>
    </row>
    <row r="444" spans="6:6" x14ac:dyDescent="0.2">
      <c r="F444" s="1"/>
    </row>
    <row r="445" spans="6:6" x14ac:dyDescent="0.2">
      <c r="F445" s="1"/>
    </row>
    <row r="446" spans="6:6" x14ac:dyDescent="0.2">
      <c r="F446" s="1"/>
    </row>
    <row r="447" spans="6:6" x14ac:dyDescent="0.2">
      <c r="F447" s="1"/>
    </row>
    <row r="448" spans="6:6" x14ac:dyDescent="0.2">
      <c r="F448" s="1"/>
    </row>
    <row r="449" spans="6:6" x14ac:dyDescent="0.2">
      <c r="F449" s="1"/>
    </row>
    <row r="450" spans="6:6" x14ac:dyDescent="0.2">
      <c r="F450" s="1"/>
    </row>
    <row r="451" spans="6:6" x14ac:dyDescent="0.2">
      <c r="F451" s="1"/>
    </row>
    <row r="452" spans="6:6" x14ac:dyDescent="0.2">
      <c r="F452" s="1"/>
    </row>
    <row r="453" spans="6:6" x14ac:dyDescent="0.2">
      <c r="F453" s="1"/>
    </row>
    <row r="454" spans="6:6" x14ac:dyDescent="0.2">
      <c r="F454" s="1"/>
    </row>
    <row r="455" spans="6:6" x14ac:dyDescent="0.2">
      <c r="F455" s="1"/>
    </row>
    <row r="456" spans="6:6" x14ac:dyDescent="0.2">
      <c r="F456" s="1"/>
    </row>
    <row r="457" spans="6:6" x14ac:dyDescent="0.2">
      <c r="F457" s="1"/>
    </row>
    <row r="458" spans="6:6" x14ac:dyDescent="0.2">
      <c r="F458" s="1"/>
    </row>
    <row r="459" spans="6:6" x14ac:dyDescent="0.2">
      <c r="F459" s="1"/>
    </row>
    <row r="460" spans="6:6" x14ac:dyDescent="0.2">
      <c r="F460" s="1"/>
    </row>
    <row r="461" spans="6:6" x14ac:dyDescent="0.2">
      <c r="F461" s="1"/>
    </row>
    <row r="462" spans="6:6" x14ac:dyDescent="0.2">
      <c r="F462" s="1"/>
    </row>
    <row r="463" spans="6:6" x14ac:dyDescent="0.2">
      <c r="F463" s="1"/>
    </row>
    <row r="464" spans="6:6" x14ac:dyDescent="0.2">
      <c r="F464" s="1"/>
    </row>
    <row r="465" spans="6:6" x14ac:dyDescent="0.2">
      <c r="F465" s="1"/>
    </row>
    <row r="466" spans="6:6" x14ac:dyDescent="0.2">
      <c r="F466" s="1"/>
    </row>
    <row r="467" spans="6:6" x14ac:dyDescent="0.2">
      <c r="F467" s="1"/>
    </row>
    <row r="468" spans="6:6" x14ac:dyDescent="0.2">
      <c r="F468" s="1"/>
    </row>
    <row r="469" spans="6:6" x14ac:dyDescent="0.2">
      <c r="F469" s="1"/>
    </row>
    <row r="470" spans="6:6" x14ac:dyDescent="0.2">
      <c r="F470" s="1"/>
    </row>
    <row r="471" spans="6:6" x14ac:dyDescent="0.2">
      <c r="F471" s="1"/>
    </row>
    <row r="472" spans="6:6" x14ac:dyDescent="0.2">
      <c r="F472" s="1"/>
    </row>
    <row r="473" spans="6:6" x14ac:dyDescent="0.2">
      <c r="F473" s="1"/>
    </row>
    <row r="474" spans="6:6" x14ac:dyDescent="0.2">
      <c r="F474" s="1"/>
    </row>
    <row r="475" spans="6:6" x14ac:dyDescent="0.2">
      <c r="F475" s="1"/>
    </row>
    <row r="476" spans="6:6" x14ac:dyDescent="0.2">
      <c r="F476" s="1"/>
    </row>
    <row r="477" spans="6:6" x14ac:dyDescent="0.2">
      <c r="F477" s="1"/>
    </row>
    <row r="478" spans="6:6" x14ac:dyDescent="0.2">
      <c r="F478" s="1"/>
    </row>
    <row r="479" spans="6:6" x14ac:dyDescent="0.2">
      <c r="F479" s="1"/>
    </row>
    <row r="480" spans="6:6" x14ac:dyDescent="0.2">
      <c r="F480" s="1"/>
    </row>
    <row r="481" spans="6:6" x14ac:dyDescent="0.2">
      <c r="F481" s="1"/>
    </row>
    <row r="482" spans="6:6" x14ac:dyDescent="0.2">
      <c r="F482" s="1"/>
    </row>
    <row r="483" spans="6:6" x14ac:dyDescent="0.2">
      <c r="F483" s="1"/>
    </row>
    <row r="484" spans="6:6" x14ac:dyDescent="0.2">
      <c r="F484" s="1"/>
    </row>
    <row r="485" spans="6:6" x14ac:dyDescent="0.2">
      <c r="F485" s="1"/>
    </row>
    <row r="486" spans="6:6" x14ac:dyDescent="0.2">
      <c r="F486" s="1"/>
    </row>
    <row r="487" spans="6:6" x14ac:dyDescent="0.2">
      <c r="F487" s="1"/>
    </row>
    <row r="488" spans="6:6" x14ac:dyDescent="0.2">
      <c r="F488" s="1"/>
    </row>
    <row r="489" spans="6:6" x14ac:dyDescent="0.2">
      <c r="F489" s="1"/>
    </row>
    <row r="490" spans="6:6" x14ac:dyDescent="0.2">
      <c r="F490" s="1"/>
    </row>
    <row r="491" spans="6:6" x14ac:dyDescent="0.2">
      <c r="F491" s="1"/>
    </row>
    <row r="492" spans="6:6" x14ac:dyDescent="0.2">
      <c r="F492" s="1"/>
    </row>
    <row r="493" spans="6:6" x14ac:dyDescent="0.2">
      <c r="F493" s="1"/>
    </row>
    <row r="494" spans="6:6" x14ac:dyDescent="0.2">
      <c r="F494" s="1"/>
    </row>
    <row r="495" spans="6:6" x14ac:dyDescent="0.2">
      <c r="F495" s="1"/>
    </row>
    <row r="496" spans="6:6" x14ac:dyDescent="0.2">
      <c r="F496" s="1"/>
    </row>
    <row r="497" spans="6:6" x14ac:dyDescent="0.2">
      <c r="F497" s="1"/>
    </row>
    <row r="498" spans="6:6" x14ac:dyDescent="0.2">
      <c r="F498" s="1"/>
    </row>
    <row r="499" spans="6:6" x14ac:dyDescent="0.2">
      <c r="F499" s="1"/>
    </row>
    <row r="500" spans="6:6" x14ac:dyDescent="0.2">
      <c r="F500" s="1"/>
    </row>
    <row r="501" spans="6:6" x14ac:dyDescent="0.2">
      <c r="F501" s="1"/>
    </row>
    <row r="502" spans="6:6" x14ac:dyDescent="0.2">
      <c r="F502" s="1"/>
    </row>
    <row r="503" spans="6:6" x14ac:dyDescent="0.2">
      <c r="F503" s="1"/>
    </row>
    <row r="504" spans="6:6" x14ac:dyDescent="0.2">
      <c r="F504" s="1"/>
    </row>
    <row r="505" spans="6:6" x14ac:dyDescent="0.2">
      <c r="F505" s="1"/>
    </row>
    <row r="506" spans="6:6" x14ac:dyDescent="0.2">
      <c r="F506" s="1"/>
    </row>
    <row r="507" spans="6:6" x14ac:dyDescent="0.2">
      <c r="F507" s="1"/>
    </row>
    <row r="508" spans="6:6" x14ac:dyDescent="0.2">
      <c r="F508" s="1"/>
    </row>
    <row r="509" spans="6:6" x14ac:dyDescent="0.2">
      <c r="F509" s="1"/>
    </row>
    <row r="510" spans="6:6" x14ac:dyDescent="0.2">
      <c r="F510" s="1"/>
    </row>
    <row r="511" spans="6:6" x14ac:dyDescent="0.2">
      <c r="F511" s="1"/>
    </row>
    <row r="512" spans="6:6" x14ac:dyDescent="0.2">
      <c r="F512" s="1"/>
    </row>
    <row r="513" spans="6:6" x14ac:dyDescent="0.2">
      <c r="F513" s="1"/>
    </row>
    <row r="514" spans="6:6" x14ac:dyDescent="0.2">
      <c r="F514" s="1"/>
    </row>
    <row r="515" spans="6:6" x14ac:dyDescent="0.2">
      <c r="F515" s="1"/>
    </row>
    <row r="516" spans="6:6" x14ac:dyDescent="0.2">
      <c r="F516" s="1"/>
    </row>
    <row r="517" spans="6:6" x14ac:dyDescent="0.2">
      <c r="F517" s="1"/>
    </row>
    <row r="518" spans="6:6" x14ac:dyDescent="0.2">
      <c r="F518" s="1"/>
    </row>
    <row r="519" spans="6:6" x14ac:dyDescent="0.2">
      <c r="F519" s="1"/>
    </row>
    <row r="520" spans="6:6" x14ac:dyDescent="0.2">
      <c r="F520" s="1"/>
    </row>
    <row r="521" spans="6:6" x14ac:dyDescent="0.2">
      <c r="F521" s="1"/>
    </row>
    <row r="522" spans="6:6" x14ac:dyDescent="0.2">
      <c r="F522" s="1"/>
    </row>
    <row r="523" spans="6:6" x14ac:dyDescent="0.2">
      <c r="F523" s="1"/>
    </row>
    <row r="524" spans="6:6" x14ac:dyDescent="0.2">
      <c r="F524" s="1"/>
    </row>
    <row r="525" spans="6:6" x14ac:dyDescent="0.2">
      <c r="F525" s="1"/>
    </row>
    <row r="526" spans="6:6" x14ac:dyDescent="0.2">
      <c r="F526" s="1"/>
    </row>
    <row r="527" spans="6:6" x14ac:dyDescent="0.2">
      <c r="F527" s="1"/>
    </row>
    <row r="528" spans="6:6" x14ac:dyDescent="0.2">
      <c r="F528" s="1"/>
    </row>
    <row r="529" spans="6:6" x14ac:dyDescent="0.2">
      <c r="F529" s="1"/>
    </row>
    <row r="530" spans="6:6" x14ac:dyDescent="0.2">
      <c r="F530" s="1"/>
    </row>
    <row r="531" spans="6:6" x14ac:dyDescent="0.2">
      <c r="F531" s="1"/>
    </row>
    <row r="532" spans="6:6" x14ac:dyDescent="0.2">
      <c r="F532" s="1"/>
    </row>
    <row r="533" spans="6:6" x14ac:dyDescent="0.2">
      <c r="F533" s="1"/>
    </row>
    <row r="534" spans="6:6" x14ac:dyDescent="0.2">
      <c r="F534" s="1"/>
    </row>
    <row r="535" spans="6:6" x14ac:dyDescent="0.2">
      <c r="F535" s="1"/>
    </row>
    <row r="536" spans="6:6" x14ac:dyDescent="0.2">
      <c r="F536" s="1"/>
    </row>
    <row r="537" spans="6:6" x14ac:dyDescent="0.2">
      <c r="F537" s="1"/>
    </row>
    <row r="538" spans="6:6" x14ac:dyDescent="0.2">
      <c r="F538" s="1"/>
    </row>
    <row r="539" spans="6:6" x14ac:dyDescent="0.2">
      <c r="F539" s="1"/>
    </row>
    <row r="540" spans="6:6" x14ac:dyDescent="0.2">
      <c r="F540" s="1"/>
    </row>
    <row r="541" spans="6:6" x14ac:dyDescent="0.2">
      <c r="F541" s="1"/>
    </row>
    <row r="542" spans="6:6" x14ac:dyDescent="0.2">
      <c r="F542" s="1"/>
    </row>
    <row r="543" spans="6:6" x14ac:dyDescent="0.2">
      <c r="F543" s="1"/>
    </row>
    <row r="544" spans="6:6" x14ac:dyDescent="0.2">
      <c r="F544" s="1"/>
    </row>
    <row r="545" spans="6:6" x14ac:dyDescent="0.2">
      <c r="F545" s="1"/>
    </row>
    <row r="546" spans="6:6" x14ac:dyDescent="0.2">
      <c r="F546" s="1"/>
    </row>
    <row r="547" spans="6:6" x14ac:dyDescent="0.2">
      <c r="F547" s="1"/>
    </row>
    <row r="548" spans="6:6" x14ac:dyDescent="0.2">
      <c r="F548" s="1"/>
    </row>
    <row r="549" spans="6:6" x14ac:dyDescent="0.2">
      <c r="F549" s="1"/>
    </row>
    <row r="550" spans="6:6" x14ac:dyDescent="0.2">
      <c r="F550" s="1"/>
    </row>
    <row r="551" spans="6:6" x14ac:dyDescent="0.2">
      <c r="F551" s="1"/>
    </row>
    <row r="552" spans="6:6" x14ac:dyDescent="0.2">
      <c r="F552" s="1"/>
    </row>
    <row r="553" spans="6:6" x14ac:dyDescent="0.2">
      <c r="F553" s="1"/>
    </row>
    <row r="554" spans="6:6" x14ac:dyDescent="0.2">
      <c r="F554" s="1"/>
    </row>
    <row r="555" spans="6:6" x14ac:dyDescent="0.2">
      <c r="F555" s="1"/>
    </row>
    <row r="556" spans="6:6" x14ac:dyDescent="0.2">
      <c r="F556" s="1"/>
    </row>
    <row r="557" spans="6:6" x14ac:dyDescent="0.2">
      <c r="F557" s="1"/>
    </row>
    <row r="558" spans="6:6" x14ac:dyDescent="0.2">
      <c r="F558" s="1"/>
    </row>
    <row r="559" spans="6:6" x14ac:dyDescent="0.2">
      <c r="F559" s="1"/>
    </row>
    <row r="560" spans="6:6" x14ac:dyDescent="0.2">
      <c r="F560" s="1"/>
    </row>
    <row r="561" spans="6:6" x14ac:dyDescent="0.2">
      <c r="F561" s="1"/>
    </row>
    <row r="562" spans="6:6" x14ac:dyDescent="0.2">
      <c r="F562" s="1"/>
    </row>
    <row r="563" spans="6:6" x14ac:dyDescent="0.2">
      <c r="F563" s="1"/>
    </row>
    <row r="564" spans="6:6" x14ac:dyDescent="0.2">
      <c r="F564" s="1"/>
    </row>
    <row r="565" spans="6:6" x14ac:dyDescent="0.2">
      <c r="F565" s="1"/>
    </row>
    <row r="566" spans="6:6" x14ac:dyDescent="0.2">
      <c r="F566" s="1"/>
    </row>
    <row r="567" spans="6:6" x14ac:dyDescent="0.2">
      <c r="F567" s="1"/>
    </row>
    <row r="568" spans="6:6" x14ac:dyDescent="0.2">
      <c r="F568" s="1"/>
    </row>
    <row r="569" spans="6:6" x14ac:dyDescent="0.2">
      <c r="F569" s="1"/>
    </row>
    <row r="570" spans="6:6" x14ac:dyDescent="0.2">
      <c r="F570" s="1"/>
    </row>
    <row r="571" spans="6:6" x14ac:dyDescent="0.2">
      <c r="F571" s="1"/>
    </row>
    <row r="572" spans="6:6" x14ac:dyDescent="0.2">
      <c r="F572" s="1"/>
    </row>
    <row r="573" spans="6:6" x14ac:dyDescent="0.2">
      <c r="F573" s="1"/>
    </row>
    <row r="574" spans="6:6" x14ac:dyDescent="0.2">
      <c r="F574" s="1"/>
    </row>
    <row r="575" spans="6:6" x14ac:dyDescent="0.2">
      <c r="F575" s="1"/>
    </row>
    <row r="576" spans="6:6" x14ac:dyDescent="0.2">
      <c r="F576" s="1"/>
    </row>
    <row r="577" spans="6:6" x14ac:dyDescent="0.2">
      <c r="F577" s="1"/>
    </row>
    <row r="578" spans="6:6" x14ac:dyDescent="0.2">
      <c r="F578" s="1"/>
    </row>
    <row r="579" spans="6:6" x14ac:dyDescent="0.2">
      <c r="F579" s="1"/>
    </row>
    <row r="580" spans="6:6" x14ac:dyDescent="0.2">
      <c r="F580" s="1"/>
    </row>
    <row r="581" spans="6:6" x14ac:dyDescent="0.2">
      <c r="F581" s="1"/>
    </row>
    <row r="582" spans="6:6" x14ac:dyDescent="0.2">
      <c r="F582" s="1"/>
    </row>
    <row r="583" spans="6:6" x14ac:dyDescent="0.2">
      <c r="F583" s="1"/>
    </row>
    <row r="584" spans="6:6" x14ac:dyDescent="0.2">
      <c r="F584" s="1"/>
    </row>
    <row r="585" spans="6:6" x14ac:dyDescent="0.2">
      <c r="F585" s="1"/>
    </row>
    <row r="586" spans="6:6" x14ac:dyDescent="0.2">
      <c r="F586" s="1"/>
    </row>
    <row r="587" spans="6:6" x14ac:dyDescent="0.2">
      <c r="F587" s="1"/>
    </row>
    <row r="588" spans="6:6" x14ac:dyDescent="0.2">
      <c r="F588" s="1"/>
    </row>
    <row r="589" spans="6:6" x14ac:dyDescent="0.2">
      <c r="F589" s="1"/>
    </row>
  </sheetData>
  <mergeCells count="280">
    <mergeCell ref="A18:N18"/>
    <mergeCell ref="J19:L19"/>
    <mergeCell ref="J20:L20"/>
    <mergeCell ref="A16:N16"/>
    <mergeCell ref="J27:L27"/>
    <mergeCell ref="J28:L28"/>
    <mergeCell ref="J29:L29"/>
    <mergeCell ref="J30:L30"/>
    <mergeCell ref="J31:L31"/>
    <mergeCell ref="J32:L32"/>
    <mergeCell ref="J21:L21"/>
    <mergeCell ref="J22:L22"/>
    <mergeCell ref="J23:L23"/>
    <mergeCell ref="J24:L24"/>
    <mergeCell ref="J25:L25"/>
    <mergeCell ref="J26:L26"/>
    <mergeCell ref="J39:L39"/>
    <mergeCell ref="J40:L40"/>
    <mergeCell ref="J41:L41"/>
    <mergeCell ref="J42:L42"/>
    <mergeCell ref="J43:L43"/>
    <mergeCell ref="J44:L44"/>
    <mergeCell ref="J33:L33"/>
    <mergeCell ref="J34:L34"/>
    <mergeCell ref="J35:L35"/>
    <mergeCell ref="J36:L36"/>
    <mergeCell ref="J37:L37"/>
    <mergeCell ref="J38:L38"/>
    <mergeCell ref="J51:L51"/>
    <mergeCell ref="J52:L52"/>
    <mergeCell ref="J53:L53"/>
    <mergeCell ref="J54:L54"/>
    <mergeCell ref="J55:L55"/>
    <mergeCell ref="J56:L56"/>
    <mergeCell ref="J45:L45"/>
    <mergeCell ref="J46:L46"/>
    <mergeCell ref="J47:L47"/>
    <mergeCell ref="J48:L48"/>
    <mergeCell ref="J49:L49"/>
    <mergeCell ref="J50:L50"/>
    <mergeCell ref="J63:L63"/>
    <mergeCell ref="J64:L64"/>
    <mergeCell ref="J65:L65"/>
    <mergeCell ref="J66:L66"/>
    <mergeCell ref="J67:L67"/>
    <mergeCell ref="J68:L68"/>
    <mergeCell ref="J57:L57"/>
    <mergeCell ref="J58:L58"/>
    <mergeCell ref="J59:L59"/>
    <mergeCell ref="J60:L60"/>
    <mergeCell ref="J61:L61"/>
    <mergeCell ref="J62:L62"/>
    <mergeCell ref="J75:L75"/>
    <mergeCell ref="J76:L76"/>
    <mergeCell ref="J77:L77"/>
    <mergeCell ref="J78:L78"/>
    <mergeCell ref="J79:L79"/>
    <mergeCell ref="J80:L80"/>
    <mergeCell ref="J69:L69"/>
    <mergeCell ref="J70:L70"/>
    <mergeCell ref="J71:L71"/>
    <mergeCell ref="J72:L72"/>
    <mergeCell ref="J73:L73"/>
    <mergeCell ref="J74:L74"/>
    <mergeCell ref="J87:L87"/>
    <mergeCell ref="J88:L88"/>
    <mergeCell ref="J89:L89"/>
    <mergeCell ref="J90:L90"/>
    <mergeCell ref="J91:L91"/>
    <mergeCell ref="J92:L92"/>
    <mergeCell ref="J81:L81"/>
    <mergeCell ref="J82:L82"/>
    <mergeCell ref="J83:L83"/>
    <mergeCell ref="J84:L84"/>
    <mergeCell ref="J85:L85"/>
    <mergeCell ref="J86:L86"/>
    <mergeCell ref="J99:L99"/>
    <mergeCell ref="J100:L100"/>
    <mergeCell ref="J101:L101"/>
    <mergeCell ref="J102:L102"/>
    <mergeCell ref="J103:L103"/>
    <mergeCell ref="J104:L104"/>
    <mergeCell ref="J93:L93"/>
    <mergeCell ref="J94:L94"/>
    <mergeCell ref="J95:L95"/>
    <mergeCell ref="J96:L96"/>
    <mergeCell ref="J97:L97"/>
    <mergeCell ref="J98:L98"/>
    <mergeCell ref="J111:L111"/>
    <mergeCell ref="J112:L112"/>
    <mergeCell ref="J113:L113"/>
    <mergeCell ref="J114:L114"/>
    <mergeCell ref="J115:L115"/>
    <mergeCell ref="J116:L116"/>
    <mergeCell ref="J105:L105"/>
    <mergeCell ref="J106:L106"/>
    <mergeCell ref="J107:L107"/>
    <mergeCell ref="J108:L108"/>
    <mergeCell ref="J109:L109"/>
    <mergeCell ref="J110:L110"/>
    <mergeCell ref="J123:L123"/>
    <mergeCell ref="J124:L124"/>
    <mergeCell ref="J125:L125"/>
    <mergeCell ref="J126:L126"/>
    <mergeCell ref="J127:L127"/>
    <mergeCell ref="J128:L128"/>
    <mergeCell ref="J117:L117"/>
    <mergeCell ref="J118:L118"/>
    <mergeCell ref="J119:L119"/>
    <mergeCell ref="J120:L120"/>
    <mergeCell ref="J121:L121"/>
    <mergeCell ref="J122:L122"/>
    <mergeCell ref="J139:L139"/>
    <mergeCell ref="J140:L140"/>
    <mergeCell ref="J141:L141"/>
    <mergeCell ref="J142:L142"/>
    <mergeCell ref="J143:L143"/>
    <mergeCell ref="J144:L144"/>
    <mergeCell ref="J135:L135"/>
    <mergeCell ref="J138:L138"/>
    <mergeCell ref="J129:L129"/>
    <mergeCell ref="J130:L130"/>
    <mergeCell ref="J131:L131"/>
    <mergeCell ref="J132:L132"/>
    <mergeCell ref="J133:L133"/>
    <mergeCell ref="J134:L134"/>
    <mergeCell ref="J151:L151"/>
    <mergeCell ref="J152:L152"/>
    <mergeCell ref="J153:L153"/>
    <mergeCell ref="J154:L154"/>
    <mergeCell ref="J155:L155"/>
    <mergeCell ref="J156:L156"/>
    <mergeCell ref="J145:L145"/>
    <mergeCell ref="J146:L146"/>
    <mergeCell ref="J147:L147"/>
    <mergeCell ref="J148:L148"/>
    <mergeCell ref="J149:L149"/>
    <mergeCell ref="J150:L150"/>
    <mergeCell ref="J163:L163"/>
    <mergeCell ref="J164:L164"/>
    <mergeCell ref="J165:L165"/>
    <mergeCell ref="J166:L166"/>
    <mergeCell ref="J167:L167"/>
    <mergeCell ref="J168:L168"/>
    <mergeCell ref="J157:L157"/>
    <mergeCell ref="J158:L158"/>
    <mergeCell ref="J159:L159"/>
    <mergeCell ref="J160:L160"/>
    <mergeCell ref="J161:L161"/>
    <mergeCell ref="J162:L162"/>
    <mergeCell ref="J175:L175"/>
    <mergeCell ref="J176:L176"/>
    <mergeCell ref="J177:L177"/>
    <mergeCell ref="J178:L178"/>
    <mergeCell ref="J179:L179"/>
    <mergeCell ref="J180:L180"/>
    <mergeCell ref="J169:L169"/>
    <mergeCell ref="J170:L170"/>
    <mergeCell ref="J171:L171"/>
    <mergeCell ref="J172:L172"/>
    <mergeCell ref="J173:L173"/>
    <mergeCell ref="J174:L174"/>
    <mergeCell ref="J187:L187"/>
    <mergeCell ref="J188:L188"/>
    <mergeCell ref="J189:L189"/>
    <mergeCell ref="J190:L190"/>
    <mergeCell ref="J191:L191"/>
    <mergeCell ref="J192:L192"/>
    <mergeCell ref="J181:L181"/>
    <mergeCell ref="J182:L182"/>
    <mergeCell ref="J183:L183"/>
    <mergeCell ref="J184:L184"/>
    <mergeCell ref="J185:L185"/>
    <mergeCell ref="J186:L186"/>
    <mergeCell ref="J199:L199"/>
    <mergeCell ref="J200:L200"/>
    <mergeCell ref="J201:L201"/>
    <mergeCell ref="J202:L202"/>
    <mergeCell ref="J203:L203"/>
    <mergeCell ref="J193:L193"/>
    <mergeCell ref="J194:L194"/>
    <mergeCell ref="J195:L195"/>
    <mergeCell ref="J196:L196"/>
    <mergeCell ref="J197:L197"/>
    <mergeCell ref="J198:L198"/>
    <mergeCell ref="J209:L209"/>
    <mergeCell ref="J210:L210"/>
    <mergeCell ref="J211:L211"/>
    <mergeCell ref="J212:L212"/>
    <mergeCell ref="J213:L213"/>
    <mergeCell ref="J214:L214"/>
    <mergeCell ref="J206:L206"/>
    <mergeCell ref="J207:L207"/>
    <mergeCell ref="J208:L208"/>
    <mergeCell ref="J221:L221"/>
    <mergeCell ref="J222:L222"/>
    <mergeCell ref="J223:L223"/>
    <mergeCell ref="J224:L224"/>
    <mergeCell ref="J225:L225"/>
    <mergeCell ref="J226:L226"/>
    <mergeCell ref="J215:L215"/>
    <mergeCell ref="J216:L216"/>
    <mergeCell ref="J217:L217"/>
    <mergeCell ref="J218:L218"/>
    <mergeCell ref="J219:L219"/>
    <mergeCell ref="J220:L220"/>
    <mergeCell ref="J233:L233"/>
    <mergeCell ref="J234:L234"/>
    <mergeCell ref="J235:L235"/>
    <mergeCell ref="J236:L236"/>
    <mergeCell ref="J237:L237"/>
    <mergeCell ref="J238:L238"/>
    <mergeCell ref="J227:L227"/>
    <mergeCell ref="J228:L228"/>
    <mergeCell ref="J229:L229"/>
    <mergeCell ref="J230:L230"/>
    <mergeCell ref="J231:L231"/>
    <mergeCell ref="J232:L232"/>
    <mergeCell ref="J245:L245"/>
    <mergeCell ref="J246:L246"/>
    <mergeCell ref="J247:L247"/>
    <mergeCell ref="J248:L248"/>
    <mergeCell ref="J249:L249"/>
    <mergeCell ref="J250:L250"/>
    <mergeCell ref="J239:L239"/>
    <mergeCell ref="J240:L240"/>
    <mergeCell ref="J241:L241"/>
    <mergeCell ref="J242:L242"/>
    <mergeCell ref="J243:L243"/>
    <mergeCell ref="J244:L244"/>
    <mergeCell ref="J257:L257"/>
    <mergeCell ref="J258:L258"/>
    <mergeCell ref="J259:L259"/>
    <mergeCell ref="J260:L260"/>
    <mergeCell ref="J261:L261"/>
    <mergeCell ref="J262:L262"/>
    <mergeCell ref="J251:L251"/>
    <mergeCell ref="J252:L252"/>
    <mergeCell ref="J253:L253"/>
    <mergeCell ref="J254:L254"/>
    <mergeCell ref="J255:L255"/>
    <mergeCell ref="J256:L256"/>
    <mergeCell ref="A298:N298"/>
    <mergeCell ref="A299:N299"/>
    <mergeCell ref="J285:L285"/>
    <mergeCell ref="J286:L286"/>
    <mergeCell ref="J287:L287"/>
    <mergeCell ref="J288:L288"/>
    <mergeCell ref="J289:L289"/>
    <mergeCell ref="J290:L290"/>
    <mergeCell ref="J279:L279"/>
    <mergeCell ref="J280:L280"/>
    <mergeCell ref="J281:L281"/>
    <mergeCell ref="J282:L282"/>
    <mergeCell ref="J283:L283"/>
    <mergeCell ref="J284:L284"/>
    <mergeCell ref="A9:N9"/>
    <mergeCell ref="A10:N10"/>
    <mergeCell ref="A11:N11"/>
    <mergeCell ref="A12:N12"/>
    <mergeCell ref="A13:N13"/>
    <mergeCell ref="A297:N297"/>
    <mergeCell ref="A268:N268"/>
    <mergeCell ref="A205:N205"/>
    <mergeCell ref="A137:N137"/>
    <mergeCell ref="J291:L291"/>
    <mergeCell ref="J273:L273"/>
    <mergeCell ref="J274:L274"/>
    <mergeCell ref="J275:L275"/>
    <mergeCell ref="J276:L276"/>
    <mergeCell ref="J277:L277"/>
    <mergeCell ref="J278:L278"/>
    <mergeCell ref="J269:L269"/>
    <mergeCell ref="J270:L270"/>
    <mergeCell ref="J271:L271"/>
    <mergeCell ref="J272:L272"/>
    <mergeCell ref="J263:L263"/>
    <mergeCell ref="J264:L264"/>
    <mergeCell ref="J265:L265"/>
    <mergeCell ref="J266:L266"/>
  </mergeCells>
  <conditionalFormatting sqref="B114:B128">
    <cfRule type="duplicateValues" dxfId="195" priority="57"/>
    <cfRule type="expression" dxfId="194" priority="55" stopIfTrue="1">
      <formula>AND(COUNTIF($D$520:$D$1497, B114)+COUNTIF($D$1520:$D$66046, B114)&gt;1,NOT(ISBLANK(B114)))</formula>
    </cfRule>
    <cfRule type="duplicateValues" dxfId="193" priority="56"/>
  </conditionalFormatting>
  <conditionalFormatting sqref="B134">
    <cfRule type="duplicateValues" dxfId="192" priority="49"/>
    <cfRule type="duplicateValues" dxfId="191" priority="48"/>
    <cfRule type="expression" dxfId="190" priority="47" stopIfTrue="1">
      <formula>AND(COUNTIF($D$520:$D$1497, B134)+COUNTIF($D$1520:$D$66046, B134)&gt;1,NOT(ISBLANK(B134)))</formula>
    </cfRule>
  </conditionalFormatting>
  <conditionalFormatting sqref="B195:B196">
    <cfRule type="duplicateValues" dxfId="189" priority="41"/>
    <cfRule type="duplicateValues" dxfId="188" priority="40"/>
    <cfRule type="expression" dxfId="187" priority="39" stopIfTrue="1">
      <formula>AND(COUNTIF($D$520:$D$1497, B195)+COUNTIF($D$1520:$D$66046, B195)&gt;1,NOT(ISBLANK(B195)))</formula>
    </cfRule>
  </conditionalFormatting>
  <conditionalFormatting sqref="B232">
    <cfRule type="duplicateValues" dxfId="186" priority="213"/>
    <cfRule type="expression" dxfId="185" priority="212" stopIfTrue="1">
      <formula>AND(COUNTIF($D$520:$D$1497, B232)+COUNTIF($D$1520:$D$66046, B232)&gt;1,NOT(ISBLANK(B232)))</formula>
    </cfRule>
    <cfRule type="duplicateValues" dxfId="184" priority="214"/>
  </conditionalFormatting>
  <conditionalFormatting sqref="B251:B252">
    <cfRule type="duplicateValues" dxfId="183" priority="88"/>
    <cfRule type="duplicateValues" dxfId="182" priority="89"/>
  </conditionalFormatting>
  <conditionalFormatting sqref="B251:B253">
    <cfRule type="expression" dxfId="181" priority="8" stopIfTrue="1">
      <formula>AND(COUNTIF($D$520:$D$1497, B251)+COUNTIF($D$1520:$D$66046, B251)&gt;1,NOT(ISBLANK(B251)))</formula>
    </cfRule>
  </conditionalFormatting>
  <conditionalFormatting sqref="B253">
    <cfRule type="duplicateValues" dxfId="180" priority="9"/>
    <cfRule type="duplicateValues" dxfId="179" priority="10"/>
  </conditionalFormatting>
  <conditionalFormatting sqref="B255">
    <cfRule type="duplicateValues" dxfId="178" priority="81"/>
    <cfRule type="duplicateValues" dxfId="177" priority="80"/>
    <cfRule type="expression" dxfId="176" priority="79" stopIfTrue="1">
      <formula>AND(COUNTIF($D$520:$D$1497, B255)+COUNTIF($D$1520:$D$66046, B255)&gt;1,NOT(ISBLANK(B255)))</formula>
    </cfRule>
  </conditionalFormatting>
  <conditionalFormatting sqref="B263:B266">
    <cfRule type="expression" dxfId="175" priority="71" stopIfTrue="1">
      <formula>AND(COUNTIF($D$520:$D$1497, B263)+COUNTIF($D$1520:$D$66046, B263)&gt;1,NOT(ISBLANK(B263)))</formula>
    </cfRule>
    <cfRule type="duplicateValues" dxfId="174" priority="72"/>
    <cfRule type="duplicateValues" dxfId="173" priority="73"/>
  </conditionalFormatting>
  <conditionalFormatting sqref="B277">
    <cfRule type="duplicateValues" dxfId="172" priority="186"/>
    <cfRule type="expression" dxfId="171" priority="184" stopIfTrue="1">
      <formula>AND(COUNTIF($D$520:$D$1497, B277)+COUNTIF($D$1520:$D$66046, B277)&gt;1,NOT(ISBLANK(B277)))</formula>
    </cfRule>
    <cfRule type="duplicateValues" dxfId="170" priority="185"/>
  </conditionalFormatting>
  <conditionalFormatting sqref="B289:B291">
    <cfRule type="duplicateValues" dxfId="169" priority="64"/>
    <cfRule type="expression" dxfId="168" priority="63" stopIfTrue="1">
      <formula>AND(COUNTIF($D$520:$D$1497, B289)+COUNTIF($D$1520:$D$66046, B289)&gt;1,NOT(ISBLANK(B289)))</formula>
    </cfRule>
    <cfRule type="duplicateValues" dxfId="167" priority="65"/>
  </conditionalFormatting>
  <conditionalFormatting sqref="E1:E8 E17 E14:E15">
    <cfRule type="duplicateValues" dxfId="166" priority="20"/>
  </conditionalFormatting>
  <conditionalFormatting sqref="E2:E8 E14:E15">
    <cfRule type="duplicateValues" dxfId="165" priority="21"/>
  </conditionalFormatting>
  <conditionalFormatting sqref="E9:E13">
    <cfRule type="duplicateValues" dxfId="164" priority="2"/>
  </conditionalFormatting>
  <conditionalFormatting sqref="E17">
    <cfRule type="duplicateValues" dxfId="163" priority="22"/>
  </conditionalFormatting>
  <conditionalFormatting sqref="E20">
    <cfRule type="duplicateValues" dxfId="162" priority="348"/>
  </conditionalFormatting>
  <conditionalFormatting sqref="E20:E21">
    <cfRule type="expression" dxfId="161" priority="304" stopIfTrue="1">
      <formula>AND(COUNTIF($D$520:$D$1497, E20)+COUNTIF($D$1520:$D$66046, E20)&gt;1,NOT(ISBLANK(E20)))</formula>
    </cfRule>
  </conditionalFormatting>
  <conditionalFormatting sqref="E21">
    <cfRule type="duplicateValues" dxfId="160" priority="308"/>
    <cfRule type="duplicateValues" dxfId="159" priority="306"/>
  </conditionalFormatting>
  <conditionalFormatting sqref="E22">
    <cfRule type="duplicateValues" dxfId="158" priority="331"/>
    <cfRule type="duplicateValues" dxfId="157" priority="332"/>
    <cfRule type="expression" dxfId="156" priority="333" stopIfTrue="1">
      <formula>AND(COUNTIF($D$520:$D$1497, E22)+COUNTIF($D$1520:$D$66046, E22)&gt;1,NOT(ISBLANK(E22)))</formula>
    </cfRule>
  </conditionalFormatting>
  <conditionalFormatting sqref="E23:E26">
    <cfRule type="expression" dxfId="155" priority="299" stopIfTrue="1">
      <formula>AND(COUNTIF($D$520:$D$1497, E23)+COUNTIF($D$1520:$D$66046, E23)&gt;1,NOT(ISBLANK(E23)))</formula>
    </cfRule>
    <cfRule type="duplicateValues" dxfId="154" priority="301"/>
    <cfRule type="duplicateValues" dxfId="153" priority="303"/>
  </conditionalFormatting>
  <conditionalFormatting sqref="E27">
    <cfRule type="duplicateValues" dxfId="152" priority="336"/>
  </conditionalFormatting>
  <conditionalFormatting sqref="E28">
    <cfRule type="expression" dxfId="151" priority="322" stopIfTrue="1">
      <formula>AND(COUNTIF($D$520:$D$1497, E28)+COUNTIF($D$1520:$D$66046, E28)&gt;1,NOT(ISBLANK(E28)))</formula>
    </cfRule>
    <cfRule type="duplicateValues" dxfId="150" priority="321"/>
    <cfRule type="duplicateValues" dxfId="149" priority="354"/>
  </conditionalFormatting>
  <conditionalFormatting sqref="E29:E37">
    <cfRule type="expression" dxfId="148" priority="294" stopIfTrue="1">
      <formula>AND(COUNTIF($D$520:$D$1497, E29)+COUNTIF($D$1520:$D$66046, E29)&gt;1,NOT(ISBLANK(E29)))</formula>
    </cfRule>
    <cfRule type="duplicateValues" dxfId="147" priority="296"/>
    <cfRule type="duplicateValues" dxfId="146" priority="298"/>
  </conditionalFormatting>
  <conditionalFormatting sqref="E38">
    <cfRule type="duplicateValues" dxfId="145" priority="175"/>
    <cfRule type="duplicateValues" dxfId="144" priority="178"/>
  </conditionalFormatting>
  <conditionalFormatting sqref="E39">
    <cfRule type="expression" dxfId="143" priority="288" stopIfTrue="1">
      <formula>AND(COUNTIF($D$520:$D$1497, E39)+COUNTIF($D$1520:$D$66046, E39)&gt;1,NOT(ISBLANK(E39)))</formula>
    </cfRule>
  </conditionalFormatting>
  <conditionalFormatting sqref="E39:E42">
    <cfRule type="duplicateValues" dxfId="142" priority="289"/>
  </conditionalFormatting>
  <conditionalFormatting sqref="E40:E52">
    <cfRule type="expression" dxfId="141" priority="290" stopIfTrue="1">
      <formula>AND(COUNTIF($D$520:$D$1497, E40)+COUNTIF($D$1520:$D$66046, E40)&gt;1,NOT(ISBLANK(E40)))</formula>
    </cfRule>
  </conditionalFormatting>
  <conditionalFormatting sqref="E43:E52">
    <cfRule type="duplicateValues" dxfId="140" priority="292"/>
    <cfRule type="duplicateValues" dxfId="139" priority="293"/>
  </conditionalFormatting>
  <conditionalFormatting sqref="E53:E55">
    <cfRule type="duplicateValues" dxfId="138" priority="172"/>
    <cfRule type="duplicateValues" dxfId="137" priority="174"/>
  </conditionalFormatting>
  <conditionalFormatting sqref="E53:E57">
    <cfRule type="expression" dxfId="136" priority="161" stopIfTrue="1">
      <formula>AND(COUNTIF($D$520:$D$1497, E53)+COUNTIF($D$1520:$D$66046, E53)&gt;1,NOT(ISBLANK(E53)))</formula>
    </cfRule>
  </conditionalFormatting>
  <conditionalFormatting sqref="E56:E57">
    <cfRule type="duplicateValues" dxfId="135" priority="160"/>
    <cfRule type="duplicateValues" dxfId="134" priority="163"/>
    <cfRule type="duplicateValues" dxfId="133" priority="165"/>
  </conditionalFormatting>
  <conditionalFormatting sqref="E58:E77 E81">
    <cfRule type="duplicateValues" dxfId="132" priority="287"/>
    <cfRule type="expression" dxfId="131" priority="335" stopIfTrue="1">
      <formula>AND(COUNTIF($D$520:$D$1497, E58)+COUNTIF($D$1520:$D$66046, E58)&gt;1,NOT(ISBLANK(E58)))</formula>
    </cfRule>
  </conditionalFormatting>
  <conditionalFormatting sqref="E78:E80">
    <cfRule type="expression" dxfId="130" priority="18" stopIfTrue="1">
      <formula>AND(COUNTIF($D$520:$D$1497, E78)+COUNTIF($D$1520:$D$66046, E78)&gt;1,NOT(ISBLANK(E78)))</formula>
    </cfRule>
    <cfRule type="duplicateValues" dxfId="129" priority="17"/>
  </conditionalFormatting>
  <conditionalFormatting sqref="E82:E83">
    <cfRule type="duplicateValues" dxfId="128" priority="38"/>
    <cfRule type="duplicateValues" dxfId="127" priority="36"/>
  </conditionalFormatting>
  <conditionalFormatting sqref="E82:E135">
    <cfRule type="expression" dxfId="126" priority="24" stopIfTrue="1">
      <formula>AND(COUNTIF($D$520:$D$1497, E82)+COUNTIF($D$1520:$D$66046, E82)&gt;1,NOT(ISBLANK(E82)))</formula>
    </cfRule>
  </conditionalFormatting>
  <conditionalFormatting sqref="E84:E88">
    <cfRule type="duplicateValues" dxfId="125" priority="157"/>
    <cfRule type="duplicateValues" dxfId="124" priority="159"/>
  </conditionalFormatting>
  <conditionalFormatting sqref="E89:E99">
    <cfRule type="duplicateValues" dxfId="123" priority="283"/>
    <cfRule type="duplicateValues" dxfId="122" priority="285"/>
  </conditionalFormatting>
  <conditionalFormatting sqref="E100:E101">
    <cfRule type="duplicateValues" dxfId="121" priority="33"/>
    <cfRule type="duplicateValues" dxfId="120" priority="31"/>
  </conditionalFormatting>
  <conditionalFormatting sqref="E102:E104">
    <cfRule type="duplicateValues" dxfId="119" priority="152"/>
    <cfRule type="duplicateValues" dxfId="118" priority="154"/>
  </conditionalFormatting>
  <conditionalFormatting sqref="E105:E106">
    <cfRule type="duplicateValues" dxfId="117" priority="278"/>
    <cfRule type="duplicateValues" dxfId="116" priority="280"/>
  </conditionalFormatting>
  <conditionalFormatting sqref="E107">
    <cfRule type="duplicateValues" dxfId="115" priority="26"/>
    <cfRule type="duplicateValues" dxfId="114" priority="28"/>
  </conditionalFormatting>
  <conditionalFormatting sqref="E108:E113">
    <cfRule type="duplicateValues" dxfId="113" priority="147"/>
    <cfRule type="duplicateValues" dxfId="112" priority="149"/>
  </conditionalFormatting>
  <conditionalFormatting sqref="E114:E128">
    <cfRule type="duplicateValues" dxfId="111" priority="60"/>
    <cfRule type="duplicateValues" dxfId="110" priority="62"/>
  </conditionalFormatting>
  <conditionalFormatting sqref="E129:E133">
    <cfRule type="duplicateValues" dxfId="109" priority="142"/>
    <cfRule type="duplicateValues" dxfId="108" priority="144"/>
  </conditionalFormatting>
  <conditionalFormatting sqref="E134">
    <cfRule type="duplicateValues" dxfId="107" priority="52"/>
    <cfRule type="duplicateValues" dxfId="106" priority="54"/>
  </conditionalFormatting>
  <conditionalFormatting sqref="E135">
    <cfRule type="duplicateValues" dxfId="105" priority="137"/>
    <cfRule type="duplicateValues" dxfId="104" priority="139"/>
  </conditionalFormatting>
  <conditionalFormatting sqref="E139">
    <cfRule type="duplicateValues" dxfId="103" priority="361"/>
  </conditionalFormatting>
  <conditionalFormatting sqref="E139:E154">
    <cfRule type="expression" dxfId="102" priority="3" stopIfTrue="1">
      <formula>AND(COUNTIF($D$520:$D$1497, E139)+COUNTIF($D$1520:$D$66046, E139)&gt;1,NOT(ISBLANK(E139)))</formula>
    </cfRule>
  </conditionalFormatting>
  <conditionalFormatting sqref="E140:E143">
    <cfRule type="duplicateValues" dxfId="101" priority="272"/>
    <cfRule type="duplicateValues" dxfId="100" priority="274"/>
  </conditionalFormatting>
  <conditionalFormatting sqref="E144">
    <cfRule type="duplicateValues" dxfId="99" priority="134"/>
    <cfRule type="duplicateValues" dxfId="98" priority="132"/>
  </conditionalFormatting>
  <conditionalFormatting sqref="E145:E150">
    <cfRule type="duplicateValues" dxfId="97" priority="267"/>
    <cfRule type="duplicateValues" dxfId="96" priority="269"/>
  </conditionalFormatting>
  <conditionalFormatting sqref="E151">
    <cfRule type="duplicateValues" dxfId="95" priority="7"/>
    <cfRule type="duplicateValues" dxfId="94" priority="5"/>
  </conditionalFormatting>
  <conditionalFormatting sqref="E152:E154">
    <cfRule type="duplicateValues" dxfId="93" priority="262"/>
    <cfRule type="duplicateValues" dxfId="92" priority="264"/>
  </conditionalFormatting>
  <conditionalFormatting sqref="E155">
    <cfRule type="duplicateValues" dxfId="91" priority="325"/>
  </conditionalFormatting>
  <conditionalFormatting sqref="E156">
    <cfRule type="duplicateValues" dxfId="90" priority="129"/>
    <cfRule type="duplicateValues" dxfId="89" priority="127"/>
  </conditionalFormatting>
  <conditionalFormatting sqref="E156:E175">
    <cfRule type="expression" dxfId="88" priority="125" stopIfTrue="1">
      <formula>AND(COUNTIF($D$520:$D$1497, E156)+COUNTIF($D$1520:$D$66046, E156)&gt;1,NOT(ISBLANK(E156)))</formula>
    </cfRule>
  </conditionalFormatting>
  <conditionalFormatting sqref="E157:E175">
    <cfRule type="duplicateValues" dxfId="87" priority="257"/>
    <cfRule type="duplicateValues" dxfId="86" priority="259"/>
  </conditionalFormatting>
  <conditionalFormatting sqref="E176">
    <cfRule type="duplicateValues" dxfId="85" priority="349"/>
  </conditionalFormatting>
  <conditionalFormatting sqref="E177">
    <cfRule type="duplicateValues" dxfId="84" priority="122"/>
    <cfRule type="duplicateValues" dxfId="83" priority="124"/>
  </conditionalFormatting>
  <conditionalFormatting sqref="E177:E187">
    <cfRule type="expression" dxfId="82" priority="120" stopIfTrue="1">
      <formula>AND(COUNTIF($D$520:$D$1497, E177)+COUNTIF($D$1520:$D$66046, E177)&gt;1,NOT(ISBLANK(E177)))</formula>
    </cfRule>
  </conditionalFormatting>
  <conditionalFormatting sqref="E178:E187">
    <cfRule type="duplicateValues" dxfId="81" priority="254"/>
    <cfRule type="duplicateValues" dxfId="80" priority="252"/>
  </conditionalFormatting>
  <conditionalFormatting sqref="E188">
    <cfRule type="duplicateValues" dxfId="79" priority="323"/>
  </conditionalFormatting>
  <conditionalFormatting sqref="E189">
    <cfRule type="duplicateValues" dxfId="78" priority="319"/>
  </conditionalFormatting>
  <conditionalFormatting sqref="E190:E191">
    <cfRule type="duplicateValues" dxfId="77" priority="119"/>
    <cfRule type="duplicateValues" dxfId="76" priority="117"/>
  </conditionalFormatting>
  <conditionalFormatting sqref="E190:E203">
    <cfRule type="expression" dxfId="75" priority="42" stopIfTrue="1">
      <formula>AND(COUNTIF($D$520:$D$1497, E190)+COUNTIF($D$1520:$D$66046, E190)&gt;1,NOT(ISBLANK(E190)))</formula>
    </cfRule>
  </conditionalFormatting>
  <conditionalFormatting sqref="E192:E193">
    <cfRule type="duplicateValues" dxfId="74" priority="247"/>
    <cfRule type="duplicateValues" dxfId="73" priority="249"/>
  </conditionalFormatting>
  <conditionalFormatting sqref="E194">
    <cfRule type="duplicateValues" dxfId="72" priority="112"/>
    <cfRule type="duplicateValues" dxfId="71" priority="114"/>
  </conditionalFormatting>
  <conditionalFormatting sqref="E195:E196">
    <cfRule type="duplicateValues" dxfId="70" priority="44"/>
    <cfRule type="duplicateValues" dxfId="69" priority="46"/>
  </conditionalFormatting>
  <conditionalFormatting sqref="E197">
    <cfRule type="duplicateValues" dxfId="68" priority="107"/>
    <cfRule type="duplicateValues" dxfId="67" priority="109"/>
  </conditionalFormatting>
  <conditionalFormatting sqref="E198:E199">
    <cfRule type="duplicateValues" dxfId="66" priority="242"/>
    <cfRule type="duplicateValues" dxfId="65" priority="244"/>
  </conditionalFormatting>
  <conditionalFormatting sqref="E200">
    <cfRule type="duplicateValues" dxfId="64" priority="237"/>
    <cfRule type="duplicateValues" dxfId="63" priority="239"/>
  </conditionalFormatting>
  <conditionalFormatting sqref="E201:E202">
    <cfRule type="duplicateValues" dxfId="62" priority="352"/>
  </conditionalFormatting>
  <conditionalFormatting sqref="E203">
    <cfRule type="duplicateValues" dxfId="61" priority="102"/>
    <cfRule type="duplicateValues" dxfId="60" priority="104"/>
  </conditionalFormatting>
  <conditionalFormatting sqref="E207:E214">
    <cfRule type="duplicateValues" dxfId="59" priority="234"/>
    <cfRule type="duplicateValues" dxfId="58" priority="232"/>
  </conditionalFormatting>
  <conditionalFormatting sqref="E207:E234">
    <cfRule type="expression" dxfId="57" priority="215" stopIfTrue="1">
      <formula>AND(COUNTIF($D$520:$D$1497, E207)+COUNTIF($D$1520:$D$66046, E207)&gt;1,NOT(ISBLANK(E207)))</formula>
    </cfRule>
  </conditionalFormatting>
  <conditionalFormatting sqref="E215:E221">
    <cfRule type="duplicateValues" dxfId="56" priority="227"/>
    <cfRule type="duplicateValues" dxfId="55" priority="229"/>
  </conditionalFormatting>
  <conditionalFormatting sqref="E222:E226">
    <cfRule type="duplicateValues" dxfId="54" priority="222"/>
    <cfRule type="duplicateValues" dxfId="53" priority="224"/>
  </conditionalFormatting>
  <conditionalFormatting sqref="E227:E234">
    <cfRule type="duplicateValues" dxfId="52" priority="217"/>
    <cfRule type="duplicateValues" dxfId="51" priority="219"/>
  </conditionalFormatting>
  <conditionalFormatting sqref="E235">
    <cfRule type="duplicateValues" dxfId="50" priority="312"/>
  </conditionalFormatting>
  <conditionalFormatting sqref="E236">
    <cfRule type="duplicateValues" dxfId="49" priority="97"/>
    <cfRule type="duplicateValues" dxfId="48" priority="99"/>
  </conditionalFormatting>
  <conditionalFormatting sqref="E236:E240">
    <cfRule type="expression" dxfId="47" priority="95" stopIfTrue="1">
      <formula>AND(COUNTIF($D$520:$D$1497, E236)+COUNTIF($D$1520:$D$66046, E236)&gt;1,NOT(ISBLANK(E236)))</formula>
    </cfRule>
  </conditionalFormatting>
  <conditionalFormatting sqref="E237:E240">
    <cfRule type="duplicateValues" dxfId="46" priority="211"/>
    <cfRule type="duplicateValues" dxfId="45" priority="209"/>
  </conditionalFormatting>
  <conditionalFormatting sqref="E241">
    <cfRule type="duplicateValues" dxfId="44" priority="317"/>
    <cfRule type="duplicateValues" dxfId="43" priority="357"/>
  </conditionalFormatting>
  <conditionalFormatting sqref="E242:E246">
    <cfRule type="duplicateValues" dxfId="42" priority="363"/>
  </conditionalFormatting>
  <conditionalFormatting sqref="E242:E249">
    <cfRule type="expression" dxfId="41" priority="202" stopIfTrue="1">
      <formula>AND(COUNTIF($D$520:$D$1497, E242)+COUNTIF($D$1520:$D$66046, E242)&gt;1,NOT(ISBLANK(E242)))</formula>
    </cfRule>
  </conditionalFormatting>
  <conditionalFormatting sqref="E247:E249">
    <cfRule type="duplicateValues" dxfId="40" priority="204"/>
    <cfRule type="duplicateValues" dxfId="39" priority="206"/>
  </conditionalFormatting>
  <conditionalFormatting sqref="E250">
    <cfRule type="duplicateValues" dxfId="38" priority="166"/>
    <cfRule type="duplicateValues" dxfId="37" priority="167"/>
  </conditionalFormatting>
  <conditionalFormatting sqref="E251:E252">
    <cfRule type="duplicateValues" dxfId="36" priority="94"/>
    <cfRule type="duplicateValues" dxfId="35" priority="92"/>
  </conditionalFormatting>
  <conditionalFormatting sqref="E251:E261">
    <cfRule type="expression" dxfId="34" priority="11" stopIfTrue="1">
      <formula>AND(COUNTIF($D$520:$D$1497, E251)+COUNTIF($D$1520:$D$66046, E251)&gt;1,NOT(ISBLANK(E251)))</formula>
    </cfRule>
  </conditionalFormatting>
  <conditionalFormatting sqref="E253">
    <cfRule type="duplicateValues" dxfId="33" priority="13"/>
    <cfRule type="duplicateValues" dxfId="32" priority="15"/>
  </conditionalFormatting>
  <conditionalFormatting sqref="E254">
    <cfRule type="duplicateValues" dxfId="31" priority="199"/>
    <cfRule type="duplicateValues" dxfId="30" priority="201"/>
  </conditionalFormatting>
  <conditionalFormatting sqref="E255">
    <cfRule type="duplicateValues" dxfId="29" priority="86"/>
    <cfRule type="duplicateValues" dxfId="28" priority="84"/>
  </conditionalFormatting>
  <conditionalFormatting sqref="E256:E261">
    <cfRule type="duplicateValues" dxfId="27" priority="196"/>
    <cfRule type="duplicateValues" dxfId="26" priority="194"/>
  </conditionalFormatting>
  <conditionalFormatting sqref="E262">
    <cfRule type="duplicateValues" dxfId="25" priority="315"/>
    <cfRule type="duplicateValues" dxfId="24" priority="314"/>
  </conditionalFormatting>
  <conditionalFormatting sqref="E263:E266">
    <cfRule type="duplicateValues" dxfId="23" priority="78"/>
    <cfRule type="duplicateValues" dxfId="22" priority="76"/>
    <cfRule type="expression" dxfId="21" priority="74" stopIfTrue="1">
      <formula>AND(COUNTIF($D$520:$D$1497, E263)+COUNTIF($D$1520:$D$66046, E263)&gt;1,NOT(ISBLANK(E263)))</formula>
    </cfRule>
  </conditionalFormatting>
  <conditionalFormatting sqref="E267 E204 E136 E18">
    <cfRule type="duplicateValues" dxfId="20" priority="355"/>
  </conditionalFormatting>
  <conditionalFormatting sqref="E270:E282">
    <cfRule type="duplicateValues" dxfId="19" priority="191"/>
    <cfRule type="duplicateValues" dxfId="18" priority="189"/>
  </conditionalFormatting>
  <conditionalFormatting sqref="E270:E287">
    <cfRule type="expression" dxfId="17" priority="179" stopIfTrue="1">
      <formula>AND(COUNTIF($D$520:$D$1497, E270)+COUNTIF($D$1520:$D$66046, E270)&gt;1,NOT(ISBLANK(E270)))</formula>
    </cfRule>
  </conditionalFormatting>
  <conditionalFormatting sqref="E283:E287">
    <cfRule type="duplicateValues" dxfId="16" priority="183"/>
    <cfRule type="duplicateValues" dxfId="15" priority="181"/>
  </conditionalFormatting>
  <conditionalFormatting sqref="E288">
    <cfRule type="duplicateValues" dxfId="14" priority="310"/>
    <cfRule type="duplicateValues" dxfId="13" priority="309"/>
  </conditionalFormatting>
  <conditionalFormatting sqref="E289:E291">
    <cfRule type="duplicateValues" dxfId="12" priority="68"/>
    <cfRule type="duplicateValues" dxfId="11" priority="70"/>
    <cfRule type="expression" dxfId="10" priority="66" stopIfTrue="1">
      <formula>AND(COUNTIF($D$520:$D$1497, E289)+COUNTIF($D$1520:$D$66046, E289)&gt;1,NOT(ISBLANK(E289)))</formula>
    </cfRule>
  </conditionalFormatting>
  <conditionalFormatting sqref="E292:E296 E300:E302">
    <cfRule type="duplicateValues" dxfId="9" priority="19"/>
  </conditionalFormatting>
  <conditionalFormatting sqref="E590:E1048576 E267 E188 E18 E20 E136 E201:E202 E155 E176 E22 E27:E28 E204">
    <cfRule type="duplicateValues" dxfId="8" priority="358"/>
  </conditionalFormatting>
  <conditionalFormatting sqref="P9:P13">
    <cfRule type="duplicateValues" dxfId="7" priority="1"/>
  </conditionalFormatting>
  <printOptions horizontalCentered="1"/>
  <pageMargins left="0.23622047244094491" right="0.23622047244094491" top="0.27559055118110237" bottom="0.31496062992125984" header="0.23622047244094491" footer="0.15748031496062992"/>
  <pageSetup scale="96" firstPageNumber="0" orientation="portrait" useFirstPageNumber="1" r:id="rId1"/>
  <headerFooter>
    <oddFooter>&amp;RPágina &amp;P de 16</oddFooter>
  </headerFooter>
  <rowBreaks count="7" manualBreakCount="7">
    <brk id="29" max="14" man="1"/>
    <brk id="46" max="14" man="1"/>
    <brk id="80" max="14" man="1"/>
    <brk id="131" max="14" man="1"/>
    <brk id="167" max="14" man="1"/>
    <brk id="254" max="14" man="1"/>
    <brk id="302" max="41" man="1"/>
  </rowBreaks>
  <colBreaks count="1" manualBreakCount="1">
    <brk id="14" max="3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421"/>
  <sheetViews>
    <sheetView view="pageBreakPreview" topLeftCell="A3" zoomScale="65" zoomScaleNormal="90" zoomScaleSheetLayoutView="65" zoomScalePageLayoutView="60" workbookViewId="0">
      <selection activeCell="Q375" sqref="Q375"/>
    </sheetView>
  </sheetViews>
  <sheetFormatPr baseColWidth="10" defaultRowHeight="15" x14ac:dyDescent="0.25"/>
  <cols>
    <col min="1" max="1" width="7.140625" style="52" customWidth="1"/>
    <col min="2" max="2" width="1.7109375" style="52" hidden="1" customWidth="1"/>
    <col min="3" max="3" width="25.140625" style="52" customWidth="1"/>
    <col min="4" max="4" width="42.85546875" style="52" customWidth="1"/>
    <col min="5" max="5" width="14.85546875" style="52" hidden="1" customWidth="1"/>
    <col min="6" max="6" width="16.28515625" style="52" hidden="1" customWidth="1"/>
    <col min="7" max="7" width="7.7109375" style="52" hidden="1" customWidth="1"/>
    <col min="8" max="8" width="12.5703125" style="52" hidden="1" customWidth="1"/>
    <col min="9" max="9" width="14.28515625" style="52" hidden="1" customWidth="1"/>
    <col min="10" max="10" width="20.7109375" style="52" customWidth="1"/>
    <col min="11" max="11" width="16.28515625" style="52" hidden="1" customWidth="1"/>
    <col min="12" max="12" width="15.140625" style="52" hidden="1" customWidth="1"/>
    <col min="13" max="13" width="21" style="52" hidden="1" customWidth="1"/>
    <col min="14" max="14" width="25.5703125" style="52" hidden="1" customWidth="1"/>
    <col min="15" max="15" width="18.85546875" style="52" hidden="1" customWidth="1"/>
    <col min="16" max="16" width="23.85546875" style="52" hidden="1" customWidth="1"/>
    <col min="17" max="17" width="26.140625" style="52" customWidth="1"/>
    <col min="18" max="18" width="36.28515625" style="52" hidden="1" customWidth="1"/>
    <col min="19" max="20" width="11.42578125" style="52" hidden="1" customWidth="1"/>
    <col min="21" max="21" width="18.5703125" style="52" hidden="1" customWidth="1"/>
    <col min="22" max="22" width="21.42578125" style="52" hidden="1" customWidth="1"/>
    <col min="23" max="26" width="11.42578125" style="52" hidden="1" customWidth="1"/>
    <col min="27" max="27" width="5.28515625" style="52" hidden="1" customWidth="1"/>
    <col min="28" max="28" width="6.140625" style="52" hidden="1" customWidth="1"/>
    <col min="29" max="29" width="4.28515625" style="52" hidden="1" customWidth="1"/>
    <col min="30" max="41" width="11.42578125" style="52" hidden="1" customWidth="1"/>
    <col min="42" max="48" width="11.42578125" style="52" customWidth="1"/>
    <col min="49" max="49" width="11.42578125" style="52"/>
    <col min="50" max="50" width="13" style="52" bestFit="1" customWidth="1"/>
    <col min="51" max="16384" width="11.42578125" style="52"/>
  </cols>
  <sheetData>
    <row r="1" spans="1:17" s="1" customFormat="1" ht="12.75" x14ac:dyDescent="0.2"/>
    <row r="2" spans="1:17" s="1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s="1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7" s="1" customFormat="1" ht="12.75" x14ac:dyDescent="0.2"/>
    <row r="5" spans="1:17" s="1" customFormat="1" ht="12.75" x14ac:dyDescent="0.2"/>
    <row r="6" spans="1:17" s="1" customFormat="1" ht="12.75" x14ac:dyDescent="0.2"/>
    <row r="7" spans="1:17" s="1" customFormat="1" ht="12.75" x14ac:dyDescent="0.2"/>
    <row r="8" spans="1:17" s="1" customFormat="1" ht="12.75" x14ac:dyDescent="0.2"/>
    <row r="9" spans="1:17" s="74" customFormat="1" ht="15.75" x14ac:dyDescent="0.25">
      <c r="A9" s="178" t="s">
        <v>883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</row>
    <row r="10" spans="1:17" s="74" customFormat="1" ht="15.75" x14ac:dyDescent="0.25">
      <c r="A10" s="178" t="s">
        <v>884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</row>
    <row r="11" spans="1:17" s="74" customFormat="1" ht="15.75" x14ac:dyDescent="0.25">
      <c r="A11" s="178" t="s">
        <v>885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</row>
    <row r="12" spans="1:17" s="74" customFormat="1" ht="15.75" x14ac:dyDescent="0.25">
      <c r="A12" s="178" t="s">
        <v>886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</row>
    <row r="13" spans="1:17" s="74" customFormat="1" ht="15.75" x14ac:dyDescent="0.25">
      <c r="A13" s="178" t="s">
        <v>887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</row>
    <row r="14" spans="1:17" s="1" customFormat="1" ht="13.5" thickBot="1" x14ac:dyDescent="0.25"/>
    <row r="15" spans="1:17" s="5" customFormat="1" ht="68.25" customHeight="1" thickBot="1" x14ac:dyDescent="0.25">
      <c r="A15" s="169" t="s">
        <v>1957</v>
      </c>
      <c r="B15" s="170"/>
      <c r="C15" s="170"/>
      <c r="D15" s="170"/>
      <c r="E15" s="170"/>
      <c r="F15" s="170"/>
      <c r="G15" s="170"/>
      <c r="H15" s="170"/>
      <c r="I15" s="170"/>
      <c r="J15" s="171"/>
      <c r="K15" s="136"/>
      <c r="L15" s="136"/>
      <c r="M15" s="136"/>
      <c r="N15" s="136"/>
      <c r="O15" s="136"/>
      <c r="P15" s="136"/>
      <c r="Q15" s="137"/>
    </row>
    <row r="17" spans="1:41" s="91" customFormat="1" x14ac:dyDescent="0.25">
      <c r="A17" s="191" t="s">
        <v>1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38"/>
      <c r="L17" s="138"/>
      <c r="M17" s="138"/>
      <c r="N17" s="138"/>
      <c r="O17" s="138"/>
      <c r="P17" s="138"/>
      <c r="Q17" s="138"/>
      <c r="R17" s="138"/>
      <c r="S17" s="90"/>
      <c r="T17" s="90"/>
      <c r="Z17" s="52"/>
      <c r="AA17" s="52"/>
      <c r="AB17" s="52"/>
      <c r="AD17" s="92"/>
      <c r="AG17" s="93"/>
      <c r="AH17" s="181" t="s">
        <v>2</v>
      </c>
      <c r="AI17" s="181"/>
      <c r="AJ17" s="181"/>
      <c r="AL17" s="181" t="s">
        <v>3</v>
      </c>
      <c r="AM17" s="181"/>
      <c r="AN17" s="181"/>
    </row>
    <row r="18" spans="1:41" s="104" customFormat="1" ht="30" customHeight="1" x14ac:dyDescent="0.25">
      <c r="A18" s="94" t="s">
        <v>4</v>
      </c>
      <c r="B18" s="94" t="s">
        <v>5</v>
      </c>
      <c r="C18" s="95" t="s">
        <v>6</v>
      </c>
      <c r="D18" s="95" t="s">
        <v>7</v>
      </c>
      <c r="E18" s="94" t="s">
        <v>8</v>
      </c>
      <c r="F18" s="96" t="s">
        <v>9</v>
      </c>
      <c r="G18" s="96" t="s">
        <v>10</v>
      </c>
      <c r="H18" s="95" t="s">
        <v>11</v>
      </c>
      <c r="I18" s="97" t="s">
        <v>12</v>
      </c>
      <c r="J18" s="182" t="s">
        <v>13</v>
      </c>
      <c r="K18" s="183"/>
      <c r="L18" s="98" t="s">
        <v>14</v>
      </c>
      <c r="M18" s="99" t="s">
        <v>15</v>
      </c>
      <c r="N18" s="99" t="s">
        <v>17</v>
      </c>
      <c r="O18" s="99" t="s">
        <v>18</v>
      </c>
      <c r="P18" s="99" t="s">
        <v>18</v>
      </c>
      <c r="Q18" s="99" t="s">
        <v>335</v>
      </c>
      <c r="R18" s="99" t="s">
        <v>1950</v>
      </c>
      <c r="S18" s="100" t="s">
        <v>19</v>
      </c>
      <c r="T18" s="100" t="s">
        <v>20</v>
      </c>
      <c r="U18" s="101" t="s">
        <v>21</v>
      </c>
      <c r="V18" s="95" t="s">
        <v>13</v>
      </c>
      <c r="W18" s="100" t="s">
        <v>19</v>
      </c>
      <c r="X18" s="100" t="s">
        <v>20</v>
      </c>
      <c r="Y18" s="100" t="s">
        <v>19</v>
      </c>
      <c r="Z18" s="100" t="s">
        <v>20</v>
      </c>
      <c r="AA18" s="52"/>
      <c r="AB18" s="52"/>
      <c r="AC18" s="102"/>
      <c r="AD18" s="100" t="s">
        <v>22</v>
      </c>
      <c r="AE18" s="100" t="s">
        <v>23</v>
      </c>
      <c r="AF18" s="100" t="s">
        <v>24</v>
      </c>
      <c r="AG18" s="93"/>
      <c r="AH18" s="103" t="s">
        <v>25</v>
      </c>
      <c r="AI18" s="103" t="s">
        <v>26</v>
      </c>
      <c r="AJ18" s="103" t="s">
        <v>27</v>
      </c>
      <c r="AK18" s="93"/>
      <c r="AL18" s="103" t="s">
        <v>25</v>
      </c>
      <c r="AM18" s="103" t="s">
        <v>26</v>
      </c>
      <c r="AN18" s="103" t="s">
        <v>28</v>
      </c>
    </row>
    <row r="19" spans="1:41" s="1" customFormat="1" ht="45" customHeight="1" x14ac:dyDescent="0.2">
      <c r="A19" s="75">
        <v>1</v>
      </c>
      <c r="B19" s="75"/>
      <c r="C19" s="76" t="s">
        <v>341</v>
      </c>
      <c r="D19" s="76" t="s">
        <v>888</v>
      </c>
      <c r="E19" s="75" t="s">
        <v>889</v>
      </c>
      <c r="F19" s="75" t="e">
        <f t="shared" ref="F19:F26" si="0">DATEDIF(P19,Q19,"y") + DATEDIF(T19,U19,"y") + DATEDIF(V19,W19,"y") + SUM(Z19) &amp; " años " &amp; DATEDIF(P19,Q19,"ym") + DATEDIF(T19,U19,"ym") + DATEDIF(V19,W19,"ym") + SUM(AA19) - SUM(AE19) &amp; " meses " &amp; DATEDIF(P19,Q19,"md") + DATEDIF(T19,U19,"md") + DATEDIF(V19,W19,"md") - SUM(AF19) &amp; " días"</f>
        <v>#VALUE!</v>
      </c>
      <c r="G19" s="77">
        <v>1</v>
      </c>
      <c r="H19" s="78" t="e">
        <f t="shared" ref="H19:H82" si="1">DATEDIF(R19,Q19,"y") &amp; " años " &amp; DATEDIF(R19,Q19,"ym") &amp; " meses " &amp; DATEDIF(R19,Q19,"md") &amp; " días"</f>
        <v>#VALUE!</v>
      </c>
      <c r="I19" s="78" t="e">
        <f t="shared" ref="I19:I82" si="2">DATEDIF(S19,Q19,"y") &amp; " años " &amp; DATEDIF(S19,Q19,"ym") &amp; " meses " &amp; DATEDIF(S19,Q19,"md") &amp; " días"</f>
        <v>#VALUE!</v>
      </c>
      <c r="J19" s="75"/>
      <c r="K19" s="79">
        <f>50275.72+25000</f>
        <v>75275.72</v>
      </c>
      <c r="L19" s="79">
        <f t="shared" ref="L19:L82" si="3">K19*G19</f>
        <v>75275.72</v>
      </c>
      <c r="M19" s="76"/>
      <c r="N19" s="75" t="s">
        <v>42</v>
      </c>
      <c r="O19" s="80" t="s">
        <v>890</v>
      </c>
      <c r="P19" s="81">
        <v>32401</v>
      </c>
      <c r="Q19" s="80" t="s">
        <v>336</v>
      </c>
      <c r="R19" s="81"/>
      <c r="S19" s="81">
        <v>42430</v>
      </c>
      <c r="T19" s="81"/>
      <c r="U19" s="81"/>
      <c r="V19" s="76"/>
      <c r="W19" s="76"/>
      <c r="X19" s="5"/>
      <c r="Y19" s="5"/>
      <c r="Z19" s="76" t="s">
        <v>134</v>
      </c>
      <c r="AA19" s="82" t="s">
        <v>36</v>
      </c>
      <c r="AB19" s="83" t="s">
        <v>37</v>
      </c>
      <c r="AC19" s="84"/>
      <c r="AD19" s="76"/>
      <c r="AE19" s="76"/>
      <c r="AF19" s="76"/>
      <c r="AG19" s="84"/>
      <c r="AH19" s="76"/>
      <c r="AI19" s="76"/>
      <c r="AJ19" s="76"/>
      <c r="AK19" s="84"/>
      <c r="AL19" s="84"/>
      <c r="AM19" s="84"/>
      <c r="AN19" s="84"/>
      <c r="AO19" s="84"/>
    </row>
    <row r="20" spans="1:41" s="1" customFormat="1" ht="45" customHeight="1" x14ac:dyDescent="0.2">
      <c r="A20" s="75">
        <v>2</v>
      </c>
      <c r="B20" s="75"/>
      <c r="C20" s="76" t="s">
        <v>341</v>
      </c>
      <c r="D20" s="76" t="s">
        <v>891</v>
      </c>
      <c r="E20" s="75" t="s">
        <v>892</v>
      </c>
      <c r="F20" s="75" t="e">
        <f t="shared" si="0"/>
        <v>#VALUE!</v>
      </c>
      <c r="G20" s="77">
        <v>1</v>
      </c>
      <c r="H20" s="78" t="e">
        <f t="shared" si="1"/>
        <v>#VALUE!</v>
      </c>
      <c r="I20" s="78" t="e">
        <f t="shared" si="2"/>
        <v>#VALUE!</v>
      </c>
      <c r="J20" s="75"/>
      <c r="K20" s="79">
        <v>150000</v>
      </c>
      <c r="L20" s="79">
        <f t="shared" si="3"/>
        <v>150000</v>
      </c>
      <c r="M20" s="76"/>
      <c r="N20" s="75" t="s">
        <v>42</v>
      </c>
      <c r="O20" s="80" t="s">
        <v>893</v>
      </c>
      <c r="P20" s="81">
        <v>31444</v>
      </c>
      <c r="Q20" s="80" t="s">
        <v>1959</v>
      </c>
      <c r="R20" s="81"/>
      <c r="S20" s="81">
        <v>43525</v>
      </c>
      <c r="T20" s="81"/>
      <c r="U20" s="81"/>
      <c r="V20" s="76"/>
      <c r="W20" s="76"/>
      <c r="X20" s="5" t="s">
        <v>894</v>
      </c>
      <c r="Y20" s="5"/>
      <c r="Z20" s="76" t="s">
        <v>895</v>
      </c>
      <c r="AA20" s="82" t="s">
        <v>36</v>
      </c>
      <c r="AB20" s="83" t="s">
        <v>37</v>
      </c>
      <c r="AC20" s="84"/>
      <c r="AD20" s="76"/>
      <c r="AE20" s="76"/>
      <c r="AF20" s="76"/>
      <c r="AG20" s="84"/>
      <c r="AH20" s="76"/>
      <c r="AI20" s="76"/>
      <c r="AJ20" s="76"/>
      <c r="AK20" s="84"/>
      <c r="AL20" s="84"/>
      <c r="AM20" s="84"/>
      <c r="AN20" s="84"/>
      <c r="AO20" s="84"/>
    </row>
    <row r="21" spans="1:41" s="1" customFormat="1" ht="45" customHeight="1" x14ac:dyDescent="0.2">
      <c r="A21" s="75">
        <v>3</v>
      </c>
      <c r="B21" s="75"/>
      <c r="C21" s="76" t="s">
        <v>341</v>
      </c>
      <c r="D21" s="76" t="s">
        <v>896</v>
      </c>
      <c r="E21" s="75" t="s">
        <v>897</v>
      </c>
      <c r="F21" s="75" t="e">
        <f t="shared" si="0"/>
        <v>#VALUE!</v>
      </c>
      <c r="G21" s="77">
        <v>1</v>
      </c>
      <c r="H21" s="78" t="e">
        <f t="shared" si="1"/>
        <v>#VALUE!</v>
      </c>
      <c r="I21" s="78" t="e">
        <f t="shared" si="2"/>
        <v>#VALUE!</v>
      </c>
      <c r="J21" s="75" t="s">
        <v>13</v>
      </c>
      <c r="K21" s="79">
        <f>50275.72+25000</f>
        <v>75275.72</v>
      </c>
      <c r="L21" s="79">
        <f t="shared" si="3"/>
        <v>75275.72</v>
      </c>
      <c r="M21" s="76"/>
      <c r="N21" s="75" t="s">
        <v>42</v>
      </c>
      <c r="O21" s="80" t="s">
        <v>898</v>
      </c>
      <c r="P21" s="81">
        <v>30042</v>
      </c>
      <c r="Q21" s="80" t="s">
        <v>1958</v>
      </c>
      <c r="R21" s="81"/>
      <c r="S21" s="81">
        <v>40771</v>
      </c>
      <c r="T21" s="81"/>
      <c r="U21" s="81"/>
      <c r="V21" s="76"/>
      <c r="W21" s="76"/>
      <c r="X21" s="5" t="s">
        <v>894</v>
      </c>
      <c r="Y21" s="5"/>
      <c r="Z21" s="76" t="s">
        <v>899</v>
      </c>
      <c r="AA21" s="82" t="s">
        <v>36</v>
      </c>
      <c r="AB21" s="83" t="s">
        <v>37</v>
      </c>
      <c r="AC21" s="84"/>
      <c r="AD21" s="76"/>
      <c r="AE21" s="76"/>
      <c r="AF21" s="76"/>
      <c r="AG21" s="84"/>
      <c r="AH21" s="76"/>
      <c r="AI21" s="76"/>
      <c r="AJ21" s="76"/>
      <c r="AK21" s="84"/>
      <c r="AL21" s="84"/>
      <c r="AM21" s="84"/>
      <c r="AN21" s="84"/>
      <c r="AO21" s="84"/>
    </row>
    <row r="22" spans="1:41" s="1" customFormat="1" ht="45" customHeight="1" x14ac:dyDescent="0.2">
      <c r="A22" s="75">
        <v>4</v>
      </c>
      <c r="B22" s="75"/>
      <c r="C22" s="76" t="s">
        <v>341</v>
      </c>
      <c r="D22" s="76" t="s">
        <v>900</v>
      </c>
      <c r="E22" s="75" t="s">
        <v>901</v>
      </c>
      <c r="F22" s="75" t="e">
        <f t="shared" si="0"/>
        <v>#VALUE!</v>
      </c>
      <c r="G22" s="77">
        <v>1</v>
      </c>
      <c r="H22" s="78" t="e">
        <f t="shared" si="1"/>
        <v>#VALUE!</v>
      </c>
      <c r="I22" s="78" t="e">
        <f t="shared" si="2"/>
        <v>#VALUE!</v>
      </c>
      <c r="J22" s="75" t="s">
        <v>13</v>
      </c>
      <c r="K22" s="79">
        <v>150000</v>
      </c>
      <c r="L22" s="79">
        <f t="shared" si="3"/>
        <v>150000</v>
      </c>
      <c r="M22" s="76"/>
      <c r="N22" s="75" t="s">
        <v>42</v>
      </c>
      <c r="O22" s="80" t="s">
        <v>902</v>
      </c>
      <c r="P22" s="81">
        <v>31785</v>
      </c>
      <c r="Q22" s="80" t="s">
        <v>1958</v>
      </c>
      <c r="R22" s="81"/>
      <c r="S22" s="81">
        <v>38200</v>
      </c>
      <c r="T22" s="81"/>
      <c r="U22" s="81"/>
      <c r="V22" s="76"/>
      <c r="W22" s="76"/>
      <c r="X22" s="5" t="s">
        <v>894</v>
      </c>
      <c r="Y22" s="5"/>
      <c r="Z22" s="76" t="s">
        <v>899</v>
      </c>
      <c r="AA22" s="82" t="s">
        <v>36</v>
      </c>
      <c r="AB22" s="83" t="s">
        <v>37</v>
      </c>
      <c r="AC22" s="84"/>
      <c r="AD22" s="76"/>
      <c r="AE22" s="76"/>
      <c r="AF22" s="76"/>
      <c r="AG22" s="84"/>
      <c r="AH22" s="76"/>
      <c r="AI22" s="76"/>
      <c r="AJ22" s="76"/>
      <c r="AK22" s="84"/>
      <c r="AL22" s="84"/>
      <c r="AM22" s="84"/>
      <c r="AN22" s="84"/>
      <c r="AO22" s="84"/>
    </row>
    <row r="23" spans="1:41" s="1" customFormat="1" ht="45" customHeight="1" x14ac:dyDescent="0.2">
      <c r="A23" s="75">
        <v>5</v>
      </c>
      <c r="B23" s="75"/>
      <c r="C23" s="76" t="s">
        <v>341</v>
      </c>
      <c r="D23" s="76" t="s">
        <v>903</v>
      </c>
      <c r="E23" s="75" t="s">
        <v>904</v>
      </c>
      <c r="F23" s="75" t="e">
        <f t="shared" si="0"/>
        <v>#VALUE!</v>
      </c>
      <c r="G23" s="85">
        <v>0.625</v>
      </c>
      <c r="H23" s="78" t="e">
        <f t="shared" si="1"/>
        <v>#VALUE!</v>
      </c>
      <c r="I23" s="78" t="e">
        <f t="shared" si="2"/>
        <v>#VALUE!</v>
      </c>
      <c r="J23" s="75"/>
      <c r="K23" s="79">
        <f>50275.72+25000</f>
        <v>75275.72</v>
      </c>
      <c r="L23" s="79">
        <f t="shared" si="3"/>
        <v>47047.324999999997</v>
      </c>
      <c r="M23" s="76"/>
      <c r="N23" s="75" t="s">
        <v>42</v>
      </c>
      <c r="O23" s="80" t="s">
        <v>905</v>
      </c>
      <c r="P23" s="81">
        <v>38110</v>
      </c>
      <c r="Q23" s="80" t="s">
        <v>1960</v>
      </c>
      <c r="R23" s="81"/>
      <c r="S23" s="81">
        <v>42430</v>
      </c>
      <c r="T23" s="81">
        <v>36991</v>
      </c>
      <c r="U23" s="81">
        <v>37365</v>
      </c>
      <c r="V23" s="76"/>
      <c r="W23" s="76"/>
      <c r="X23" s="5" t="s">
        <v>894</v>
      </c>
      <c r="Y23" s="5"/>
      <c r="Z23" s="76" t="s">
        <v>899</v>
      </c>
      <c r="AA23" s="82" t="s">
        <v>36</v>
      </c>
      <c r="AB23" s="83" t="s">
        <v>37</v>
      </c>
      <c r="AC23" s="84"/>
      <c r="AD23" s="76"/>
      <c r="AE23" s="76"/>
      <c r="AF23" s="76"/>
      <c r="AG23" s="84"/>
      <c r="AH23" s="76"/>
      <c r="AI23" s="76"/>
      <c r="AJ23" s="76"/>
      <c r="AK23" s="84"/>
      <c r="AL23" s="84"/>
      <c r="AM23" s="84"/>
      <c r="AN23" s="84"/>
      <c r="AO23" s="84"/>
    </row>
    <row r="24" spans="1:41" s="1" customFormat="1" ht="45" customHeight="1" x14ac:dyDescent="0.2">
      <c r="A24" s="75">
        <v>6</v>
      </c>
      <c r="B24" s="75"/>
      <c r="C24" s="76" t="s">
        <v>341</v>
      </c>
      <c r="D24" s="76" t="s">
        <v>906</v>
      </c>
      <c r="E24" s="75" t="s">
        <v>907</v>
      </c>
      <c r="F24" s="75" t="e">
        <f t="shared" si="0"/>
        <v>#VALUE!</v>
      </c>
      <c r="G24" s="77">
        <v>1</v>
      </c>
      <c r="H24" s="78" t="e">
        <f t="shared" si="1"/>
        <v>#VALUE!</v>
      </c>
      <c r="I24" s="78" t="e">
        <f t="shared" si="2"/>
        <v>#VALUE!</v>
      </c>
      <c r="J24" s="75" t="s">
        <v>13</v>
      </c>
      <c r="K24" s="79">
        <v>70000</v>
      </c>
      <c r="L24" s="79">
        <f t="shared" si="3"/>
        <v>70000</v>
      </c>
      <c r="M24" s="76"/>
      <c r="N24" s="75" t="s">
        <v>42</v>
      </c>
      <c r="O24" s="80" t="s">
        <v>908</v>
      </c>
      <c r="P24" s="81">
        <v>31057</v>
      </c>
      <c r="Q24" s="80" t="s">
        <v>1958</v>
      </c>
      <c r="R24" s="81"/>
      <c r="S24" s="81">
        <v>40603</v>
      </c>
      <c r="T24" s="81"/>
      <c r="U24" s="81"/>
      <c r="V24" s="76"/>
      <c r="W24" s="76"/>
      <c r="X24" s="5"/>
      <c r="Y24" s="5"/>
      <c r="Z24" s="76" t="s">
        <v>899</v>
      </c>
      <c r="AA24" s="82" t="s">
        <v>36</v>
      </c>
      <c r="AB24" s="83" t="s">
        <v>37</v>
      </c>
      <c r="AC24" s="84"/>
      <c r="AD24" s="76"/>
      <c r="AE24" s="76"/>
      <c r="AF24" s="76"/>
      <c r="AG24" s="84"/>
      <c r="AH24" s="76"/>
      <c r="AI24" s="76"/>
      <c r="AJ24" s="76"/>
      <c r="AK24" s="84"/>
      <c r="AL24" s="84"/>
      <c r="AM24" s="84"/>
      <c r="AN24" s="84"/>
      <c r="AO24" s="84"/>
    </row>
    <row r="25" spans="1:41" s="1" customFormat="1" ht="45" customHeight="1" x14ac:dyDescent="0.2">
      <c r="A25" s="75">
        <v>7</v>
      </c>
      <c r="B25" s="75"/>
      <c r="C25" s="76" t="s">
        <v>341</v>
      </c>
      <c r="D25" s="76" t="s">
        <v>909</v>
      </c>
      <c r="E25" s="75" t="s">
        <v>910</v>
      </c>
      <c r="F25" s="75" t="e">
        <f t="shared" ref="F25" si="4">DATEDIF(P25,Q25,"y") + DATEDIF(T25,U25,"y") + DATEDIF(V25,W25,"y") + SUM(Z25) &amp; " años " &amp; DATEDIF(P25,Q25,"ym") + DATEDIF(T25,U25,"ym") + DATEDIF(V25,W25,"ym") + SUM(AA25) - SUM(AE25) &amp; " meses " &amp; DATEDIF(P25,Q25,"md") + DATEDIF(T25,U25,"md") + DATEDIF(V25,W25,"md") - SUM(AF25) &amp; " días"</f>
        <v>#VALUE!</v>
      </c>
      <c r="G25" s="77">
        <v>1</v>
      </c>
      <c r="H25" s="78" t="e">
        <f t="shared" si="1"/>
        <v>#VALUE!</v>
      </c>
      <c r="I25" s="78" t="e">
        <f t="shared" si="2"/>
        <v>#VALUE!</v>
      </c>
      <c r="J25" s="75"/>
      <c r="K25" s="79">
        <v>70000</v>
      </c>
      <c r="L25" s="79">
        <f t="shared" si="3"/>
        <v>70000</v>
      </c>
      <c r="M25" s="76"/>
      <c r="N25" s="75" t="s">
        <v>42</v>
      </c>
      <c r="O25" s="80" t="s">
        <v>911</v>
      </c>
      <c r="P25" s="81">
        <v>31057</v>
      </c>
      <c r="Q25" s="80" t="s">
        <v>1959</v>
      </c>
      <c r="R25" s="81"/>
      <c r="S25" s="81">
        <v>42062</v>
      </c>
      <c r="T25" s="81"/>
      <c r="U25" s="81"/>
      <c r="V25" s="76"/>
      <c r="W25" s="76"/>
      <c r="X25" s="5"/>
      <c r="Y25" s="5"/>
      <c r="Z25" s="76" t="s">
        <v>899</v>
      </c>
      <c r="AA25" s="82" t="s">
        <v>36</v>
      </c>
      <c r="AB25" s="83" t="s">
        <v>37</v>
      </c>
      <c r="AC25" s="84"/>
      <c r="AD25" s="76"/>
      <c r="AE25" s="76"/>
      <c r="AF25" s="76"/>
      <c r="AG25" s="84"/>
      <c r="AH25" s="76"/>
      <c r="AI25" s="76"/>
      <c r="AJ25" s="76"/>
      <c r="AK25" s="84"/>
      <c r="AL25" s="84"/>
      <c r="AM25" s="84"/>
      <c r="AN25" s="84"/>
      <c r="AO25" s="84"/>
    </row>
    <row r="26" spans="1:41" s="1" customFormat="1" ht="45" customHeight="1" x14ac:dyDescent="0.2">
      <c r="A26" s="75">
        <v>8</v>
      </c>
      <c r="B26" s="75"/>
      <c r="C26" s="76" t="s">
        <v>341</v>
      </c>
      <c r="D26" s="76" t="s">
        <v>912</v>
      </c>
      <c r="E26" s="75" t="s">
        <v>913</v>
      </c>
      <c r="F26" s="75" t="e">
        <f t="shared" si="0"/>
        <v>#VALUE!</v>
      </c>
      <c r="G26" s="77">
        <v>1</v>
      </c>
      <c r="H26" s="78" t="e">
        <f t="shared" si="1"/>
        <v>#VALUE!</v>
      </c>
      <c r="I26" s="78" t="e">
        <f t="shared" si="2"/>
        <v>#VALUE!</v>
      </c>
      <c r="J26" s="75"/>
      <c r="K26" s="79">
        <v>50275.72</v>
      </c>
      <c r="L26" s="79">
        <f t="shared" si="3"/>
        <v>50275.72</v>
      </c>
      <c r="M26" s="76"/>
      <c r="N26" s="75" t="s">
        <v>42</v>
      </c>
      <c r="O26" s="80" t="s">
        <v>914</v>
      </c>
      <c r="P26" s="81">
        <v>32426</v>
      </c>
      <c r="Q26" s="80" t="s">
        <v>336</v>
      </c>
      <c r="R26" s="81"/>
      <c r="S26" s="81">
        <v>42430</v>
      </c>
      <c r="T26" s="81"/>
      <c r="U26" s="81"/>
      <c r="V26" s="76"/>
      <c r="W26" s="76"/>
      <c r="X26" s="5"/>
      <c r="Y26" s="5"/>
      <c r="Z26" s="76" t="s">
        <v>134</v>
      </c>
      <c r="AA26" s="82" t="s">
        <v>36</v>
      </c>
      <c r="AB26" s="83" t="s">
        <v>37</v>
      </c>
      <c r="AC26" s="84"/>
      <c r="AD26" s="76"/>
      <c r="AE26" s="76"/>
      <c r="AF26" s="76"/>
      <c r="AG26" s="84"/>
      <c r="AH26" s="76"/>
      <c r="AI26" s="76"/>
      <c r="AJ26" s="76"/>
      <c r="AK26" s="84"/>
      <c r="AL26" s="84"/>
      <c r="AM26" s="84"/>
      <c r="AN26" s="84"/>
      <c r="AO26" s="84"/>
    </row>
    <row r="27" spans="1:41" s="1" customFormat="1" ht="45" customHeight="1" x14ac:dyDescent="0.2">
      <c r="A27" s="75">
        <v>9</v>
      </c>
      <c r="B27" s="75"/>
      <c r="C27" s="76" t="s">
        <v>341</v>
      </c>
      <c r="D27" s="76" t="s">
        <v>915</v>
      </c>
      <c r="E27" s="75" t="s">
        <v>916</v>
      </c>
      <c r="F27" s="75" t="e">
        <f>DATEDIF(P27,Q27,"y") + DATEDIF(T27,U27,"y") + DATEDIF(V27,W27,"y") + SUM(AD27) &amp; " años " &amp; DATEDIF(P27,Q27,"ym") + DATEDIF(T27,U27,"ym") + DATEDIF(V27,W27,"ym") + SUM(AE27) - SUM(AI27) &amp; " meses " &amp; DATEDIF(P27,Q27,"md") + DATEDIF(T27,U27,"md") + DATEDIF(V27,W27,"md") - SUM(AJ27) &amp; " días"</f>
        <v>#VALUE!</v>
      </c>
      <c r="G27" s="77">
        <v>1</v>
      </c>
      <c r="H27" s="78" t="e">
        <f t="shared" si="1"/>
        <v>#VALUE!</v>
      </c>
      <c r="I27" s="78" t="e">
        <f t="shared" si="2"/>
        <v>#VALUE!</v>
      </c>
      <c r="J27" s="75" t="s">
        <v>13</v>
      </c>
      <c r="K27" s="79">
        <f>50275.72+25000</f>
        <v>75275.72</v>
      </c>
      <c r="L27" s="79">
        <f t="shared" si="3"/>
        <v>75275.72</v>
      </c>
      <c r="M27" s="76"/>
      <c r="N27" s="75" t="s">
        <v>42</v>
      </c>
      <c r="O27" s="80" t="s">
        <v>917</v>
      </c>
      <c r="P27" s="81">
        <v>31017</v>
      </c>
      <c r="Q27" s="80" t="s">
        <v>336</v>
      </c>
      <c r="R27" s="81"/>
      <c r="S27" s="81">
        <v>38047</v>
      </c>
      <c r="T27" s="81"/>
      <c r="U27" s="81"/>
      <c r="V27" s="76"/>
      <c r="W27" s="76"/>
      <c r="X27" s="5"/>
      <c r="Y27" s="5"/>
      <c r="Z27" s="76" t="s">
        <v>134</v>
      </c>
      <c r="AA27" s="82" t="s">
        <v>36</v>
      </c>
      <c r="AB27" s="83" t="s">
        <v>37</v>
      </c>
      <c r="AC27" s="84"/>
      <c r="AD27" s="76"/>
      <c r="AE27" s="76"/>
      <c r="AF27" s="76"/>
      <c r="AG27" s="84"/>
      <c r="AH27" s="76"/>
      <c r="AI27" s="76"/>
      <c r="AJ27" s="76"/>
      <c r="AK27" s="84"/>
      <c r="AL27" s="84"/>
      <c r="AM27" s="84"/>
      <c r="AN27" s="84"/>
      <c r="AO27" s="84"/>
    </row>
    <row r="28" spans="1:41" s="1" customFormat="1" ht="45" customHeight="1" x14ac:dyDescent="0.2">
      <c r="A28" s="75">
        <v>10</v>
      </c>
      <c r="B28" s="75"/>
      <c r="C28" s="76" t="s">
        <v>39</v>
      </c>
      <c r="D28" s="76" t="s">
        <v>918</v>
      </c>
      <c r="E28" s="75" t="s">
        <v>919</v>
      </c>
      <c r="F28" s="75" t="e">
        <f>DATEDIF(P28,Q28,"y") + DATEDIF(T28,U28,"y") + DATEDIF(V28,W28,"y") + SUM(AD28) &amp; " años " &amp; DATEDIF(P28,Q28,"ym") + DATEDIF(T28,U28,"ym") + DATEDIF(V28,W28,"ym") + SUM(AE28) - SUM(AI28) &amp; " meses " &amp; DATEDIF(P28,Q28,"md") + DATEDIF(T28,U28,"md") + DATEDIF(V28,W28,"md") - SUM(AJ28) &amp; " días"</f>
        <v>#VALUE!</v>
      </c>
      <c r="G28" s="77">
        <v>1</v>
      </c>
      <c r="H28" s="78" t="e">
        <f t="shared" si="1"/>
        <v>#VALUE!</v>
      </c>
      <c r="I28" s="78" t="e">
        <f t="shared" si="2"/>
        <v>#VALUE!</v>
      </c>
      <c r="J28" s="75"/>
      <c r="K28" s="79">
        <v>39234.82</v>
      </c>
      <c r="L28" s="79">
        <f t="shared" si="3"/>
        <v>39234.82</v>
      </c>
      <c r="M28" s="76"/>
      <c r="N28" s="75" t="s">
        <v>42</v>
      </c>
      <c r="O28" s="80" t="s">
        <v>920</v>
      </c>
      <c r="P28" s="81">
        <v>31107</v>
      </c>
      <c r="Q28" s="80" t="s">
        <v>336</v>
      </c>
      <c r="R28" s="81"/>
      <c r="S28" s="81">
        <v>43888</v>
      </c>
      <c r="T28" s="81"/>
      <c r="U28" s="81"/>
      <c r="V28" s="76"/>
      <c r="W28" s="76"/>
      <c r="X28" s="5"/>
      <c r="Y28" s="5"/>
      <c r="Z28" s="76" t="s">
        <v>134</v>
      </c>
      <c r="AA28" s="82" t="s">
        <v>36</v>
      </c>
      <c r="AB28" s="83" t="s">
        <v>37</v>
      </c>
      <c r="AC28" s="84"/>
      <c r="AD28" s="76"/>
      <c r="AE28" s="76"/>
      <c r="AF28" s="76"/>
      <c r="AG28" s="84"/>
      <c r="AH28" s="76"/>
      <c r="AI28" s="76"/>
      <c r="AJ28" s="76"/>
      <c r="AK28" s="84"/>
      <c r="AL28" s="84"/>
      <c r="AM28" s="84"/>
      <c r="AN28" s="84"/>
      <c r="AO28" s="84"/>
    </row>
    <row r="29" spans="1:41" s="1" customFormat="1" ht="45" customHeight="1" x14ac:dyDescent="0.2">
      <c r="A29" s="75">
        <v>11</v>
      </c>
      <c r="B29" s="75"/>
      <c r="C29" s="76" t="s">
        <v>39</v>
      </c>
      <c r="D29" s="76" t="s">
        <v>921</v>
      </c>
      <c r="E29" s="75" t="s">
        <v>922</v>
      </c>
      <c r="F29" s="75" t="e">
        <f>DATEDIF(P29,Q29,"y") + DATEDIF(T29,U29,"y") + DATEDIF(V29,W29,"y") + SUM(AD29) &amp; " años " &amp; DATEDIF(P29,Q29,"ym") + DATEDIF(T29,U29,"ym") + DATEDIF(V29,W29,"ym") + SUM(AE29) - SUM(AI29) &amp; " meses " &amp; DATEDIF(P29,Q29,"md") + DATEDIF(T29,U29,"md") + DATEDIF(V29,W29,"md") - SUM(AJ29) &amp; " días"</f>
        <v>#VALUE!</v>
      </c>
      <c r="G29" s="77">
        <v>0.91</v>
      </c>
      <c r="H29" s="78" t="e">
        <f t="shared" si="1"/>
        <v>#VALUE!</v>
      </c>
      <c r="I29" s="78" t="e">
        <f t="shared" si="2"/>
        <v>#VALUE!</v>
      </c>
      <c r="J29" s="75"/>
      <c r="K29" s="79">
        <f>39234.81+14000</f>
        <v>53234.81</v>
      </c>
      <c r="L29" s="79">
        <f t="shared" si="3"/>
        <v>48443.677100000001</v>
      </c>
      <c r="M29" s="76"/>
      <c r="N29" s="75" t="s">
        <v>42</v>
      </c>
      <c r="O29" s="80" t="s">
        <v>923</v>
      </c>
      <c r="P29" s="81">
        <v>33616</v>
      </c>
      <c r="Q29" s="80" t="s">
        <v>1960</v>
      </c>
      <c r="R29" s="81"/>
      <c r="S29" s="81">
        <v>44619</v>
      </c>
      <c r="T29" s="81"/>
      <c r="U29" s="81"/>
      <c r="V29" s="76"/>
      <c r="W29" s="76"/>
      <c r="X29" s="5" t="s">
        <v>894</v>
      </c>
      <c r="Y29" s="5"/>
      <c r="Z29" s="76" t="s">
        <v>899</v>
      </c>
      <c r="AA29" s="82" t="s">
        <v>36</v>
      </c>
      <c r="AB29" s="83" t="s">
        <v>37</v>
      </c>
      <c r="AC29" s="84"/>
      <c r="AD29" s="76"/>
      <c r="AE29" s="76"/>
      <c r="AF29" s="76"/>
      <c r="AG29" s="84"/>
      <c r="AH29" s="76"/>
      <c r="AI29" s="76"/>
      <c r="AJ29" s="76"/>
      <c r="AK29" s="84"/>
      <c r="AL29" s="84"/>
      <c r="AM29" s="84"/>
      <c r="AN29" s="84"/>
      <c r="AO29" s="84"/>
    </row>
    <row r="30" spans="1:41" s="1" customFormat="1" ht="45" customHeight="1" x14ac:dyDescent="0.2">
      <c r="A30" s="75">
        <v>12</v>
      </c>
      <c r="B30" s="75"/>
      <c r="C30" s="76" t="s">
        <v>39</v>
      </c>
      <c r="D30" s="76" t="s">
        <v>924</v>
      </c>
      <c r="E30" s="75" t="s">
        <v>925</v>
      </c>
      <c r="F30" s="75" t="e">
        <f>DATEDIF(P30,Q30,"y") + DATEDIF(T30,U30,"y") + DATEDIF(V30,W30,"y") + SUM(AD30) &amp; " años " &amp; DATEDIF(P30,Q30,"ym") + DATEDIF(T30,U30,"ym") + DATEDIF(V30,W30,"ym") + SUM(AE30) - SUM(AI30) &amp; " meses " &amp; DATEDIF(P30,Q30,"md") + DATEDIF(T30,U30,"md") + DATEDIF(V30,W30,"md") - SUM(AJ30) &amp; " días"</f>
        <v>#VALUE!</v>
      </c>
      <c r="G30" s="77">
        <v>1</v>
      </c>
      <c r="H30" s="78" t="e">
        <f t="shared" si="1"/>
        <v>#VALUE!</v>
      </c>
      <c r="I30" s="78" t="e">
        <f t="shared" si="2"/>
        <v>#VALUE!</v>
      </c>
      <c r="J30" s="75"/>
      <c r="K30" s="79">
        <v>70000</v>
      </c>
      <c r="L30" s="79">
        <f t="shared" si="3"/>
        <v>70000</v>
      </c>
      <c r="M30" s="76"/>
      <c r="N30" s="75" t="s">
        <v>42</v>
      </c>
      <c r="O30" s="80" t="s">
        <v>926</v>
      </c>
      <c r="P30" s="81">
        <v>31079</v>
      </c>
      <c r="Q30" s="80" t="s">
        <v>1960</v>
      </c>
      <c r="R30" s="81"/>
      <c r="S30" s="81">
        <v>41699</v>
      </c>
      <c r="T30" s="81"/>
      <c r="U30" s="81"/>
      <c r="V30" s="76"/>
      <c r="W30" s="76"/>
      <c r="X30" s="5" t="s">
        <v>894</v>
      </c>
      <c r="Y30" s="5"/>
      <c r="Z30" s="76" t="s">
        <v>899</v>
      </c>
      <c r="AA30" s="82" t="s">
        <v>36</v>
      </c>
      <c r="AB30" s="83" t="s">
        <v>37</v>
      </c>
      <c r="AC30" s="84"/>
      <c r="AD30" s="76"/>
      <c r="AE30" s="76"/>
      <c r="AF30" s="76"/>
      <c r="AG30" s="84"/>
      <c r="AH30" s="76"/>
      <c r="AI30" s="76"/>
      <c r="AJ30" s="76"/>
      <c r="AK30" s="84"/>
      <c r="AL30" s="84"/>
      <c r="AM30" s="84"/>
      <c r="AN30" s="84"/>
      <c r="AO30" s="84"/>
    </row>
    <row r="31" spans="1:41" s="1" customFormat="1" ht="45" customHeight="1" x14ac:dyDescent="0.2">
      <c r="A31" s="75">
        <v>13</v>
      </c>
      <c r="B31" s="75"/>
      <c r="C31" s="76" t="s">
        <v>39</v>
      </c>
      <c r="D31" s="76" t="s">
        <v>927</v>
      </c>
      <c r="E31" s="75" t="s">
        <v>928</v>
      </c>
      <c r="F31" s="75" t="e">
        <f>DATEDIF(P31,Q31,"y") + DATEDIF(T31,U31,"y") + DATEDIF(V31,W31,"y") + SUM(Z31) &amp; " años " &amp; DATEDIF(P31,Q31,"ym") + DATEDIF(T31,U31,"ym") + DATEDIF(V31,W31,"ym") + SUM(AA31) - SUM(AE31) &amp; " meses " &amp; DATEDIF(P31,Q31,"md") + DATEDIF(T31,U31,"md") + DATEDIF(V31,W31,"md") - SUM(AF31) &amp; " días"</f>
        <v>#VALUE!</v>
      </c>
      <c r="G31" s="77">
        <v>1</v>
      </c>
      <c r="H31" s="78" t="e">
        <f t="shared" si="1"/>
        <v>#VALUE!</v>
      </c>
      <c r="I31" s="78" t="e">
        <f t="shared" si="2"/>
        <v>#VALUE!</v>
      </c>
      <c r="J31" s="75"/>
      <c r="K31" s="79">
        <v>70000</v>
      </c>
      <c r="L31" s="79">
        <f t="shared" si="3"/>
        <v>70000</v>
      </c>
      <c r="M31" s="76"/>
      <c r="N31" s="75" t="s">
        <v>42</v>
      </c>
      <c r="O31" s="80" t="s">
        <v>929</v>
      </c>
      <c r="P31" s="81">
        <v>31747</v>
      </c>
      <c r="Q31" s="80" t="s">
        <v>336</v>
      </c>
      <c r="R31" s="81"/>
      <c r="S31" s="81">
        <v>42062</v>
      </c>
      <c r="T31" s="81"/>
      <c r="U31" s="81"/>
      <c r="V31" s="76"/>
      <c r="W31" s="76"/>
      <c r="X31" s="5"/>
      <c r="Y31" s="5"/>
      <c r="Z31" s="76" t="s">
        <v>134</v>
      </c>
      <c r="AA31" s="82" t="s">
        <v>36</v>
      </c>
      <c r="AB31" s="83" t="s">
        <v>37</v>
      </c>
      <c r="AC31" s="84"/>
      <c r="AD31" s="76"/>
      <c r="AE31" s="76"/>
      <c r="AF31" s="76"/>
      <c r="AG31" s="84"/>
      <c r="AH31" s="76"/>
      <c r="AI31" s="76"/>
      <c r="AJ31" s="76"/>
      <c r="AK31" s="84"/>
      <c r="AL31" s="84"/>
      <c r="AM31" s="84"/>
      <c r="AN31" s="84"/>
      <c r="AO31" s="84"/>
    </row>
    <row r="32" spans="1:41" s="1" customFormat="1" ht="45" customHeight="1" x14ac:dyDescent="0.2">
      <c r="A32" s="75">
        <v>14</v>
      </c>
      <c r="B32" s="75"/>
      <c r="C32" s="76" t="s">
        <v>39</v>
      </c>
      <c r="D32" s="76" t="s">
        <v>930</v>
      </c>
      <c r="E32" s="75" t="s">
        <v>931</v>
      </c>
      <c r="F32" s="75" t="e">
        <f>DATEDIF(P32,Q32,"y") + DATEDIF(T32,U32,"y") + DATEDIF(V32,W32,"y") + SUM(Z32) &amp; " años " &amp; DATEDIF(P32,Q32,"ym") + DATEDIF(T32,U32,"ym") + DATEDIF(V32,W32,"ym") + SUM(AA32) - SUM(AE32) &amp; " meses " &amp; DATEDIF(P32,Q32,"md") + DATEDIF(T32,U32,"md") + DATEDIF(V32,W32,"md") - SUM(AF32) &amp; " días"</f>
        <v>#VALUE!</v>
      </c>
      <c r="G32" s="77">
        <v>1</v>
      </c>
      <c r="H32" s="78" t="e">
        <f t="shared" si="1"/>
        <v>#VALUE!</v>
      </c>
      <c r="I32" s="78" t="e">
        <f t="shared" si="2"/>
        <v>#VALUE!</v>
      </c>
      <c r="J32" s="75"/>
      <c r="K32" s="79">
        <v>70000</v>
      </c>
      <c r="L32" s="79">
        <f t="shared" si="3"/>
        <v>70000</v>
      </c>
      <c r="M32" s="76"/>
      <c r="N32" s="75" t="s">
        <v>42</v>
      </c>
      <c r="O32" s="80" t="s">
        <v>932</v>
      </c>
      <c r="P32" s="81">
        <v>32689</v>
      </c>
      <c r="Q32" s="80" t="s">
        <v>336</v>
      </c>
      <c r="R32" s="81"/>
      <c r="S32" s="81">
        <v>43888</v>
      </c>
      <c r="T32" s="81"/>
      <c r="U32" s="81"/>
      <c r="V32" s="76"/>
      <c r="W32" s="76"/>
      <c r="X32" s="5"/>
      <c r="Y32" s="5"/>
      <c r="Z32" s="76" t="s">
        <v>134</v>
      </c>
      <c r="AA32" s="82" t="s">
        <v>36</v>
      </c>
      <c r="AB32" s="83" t="s">
        <v>37</v>
      </c>
      <c r="AC32" s="84"/>
      <c r="AD32" s="76"/>
      <c r="AE32" s="76"/>
      <c r="AF32" s="76"/>
      <c r="AG32" s="84"/>
      <c r="AH32" s="76"/>
      <c r="AI32" s="76"/>
      <c r="AJ32" s="76"/>
      <c r="AK32" s="84"/>
      <c r="AL32" s="84"/>
      <c r="AM32" s="84"/>
      <c r="AN32" s="84"/>
      <c r="AO32" s="84"/>
    </row>
    <row r="33" spans="1:41" s="1" customFormat="1" ht="45" customHeight="1" x14ac:dyDescent="0.2">
      <c r="A33" s="75">
        <v>15</v>
      </c>
      <c r="B33" s="75"/>
      <c r="C33" s="76" t="s">
        <v>39</v>
      </c>
      <c r="D33" s="76" t="s">
        <v>933</v>
      </c>
      <c r="E33" s="75" t="s">
        <v>934</v>
      </c>
      <c r="F33" s="75" t="e">
        <f>DATEDIF(P33,Q33,"y") + DATEDIF(T33,U33,"y") + DATEDIF(V33,W33,"y") + SUM(Z33) &amp; " años " &amp; DATEDIF(P33,Q33,"ym") + DATEDIF(T33,U33,"ym") + DATEDIF(V33,W33,"ym") + SUM(AA33) - SUM(AE33) &amp; " meses " &amp; DATEDIF(P33,Q33,"md") + DATEDIF(T33,U33,"md") + DATEDIF(V33,W33,"md") - SUM(AF33) &amp; " días"</f>
        <v>#VALUE!</v>
      </c>
      <c r="G33" s="77">
        <v>1</v>
      </c>
      <c r="H33" s="78" t="e">
        <f t="shared" si="1"/>
        <v>#VALUE!</v>
      </c>
      <c r="I33" s="78" t="e">
        <f t="shared" si="2"/>
        <v>#VALUE!</v>
      </c>
      <c r="J33" s="75"/>
      <c r="K33" s="79">
        <v>70000</v>
      </c>
      <c r="L33" s="79">
        <f t="shared" si="3"/>
        <v>70000</v>
      </c>
      <c r="M33" s="76"/>
      <c r="N33" s="75" t="s">
        <v>42</v>
      </c>
      <c r="O33" s="80" t="s">
        <v>935</v>
      </c>
      <c r="P33" s="81">
        <v>29660</v>
      </c>
      <c r="Q33" s="80" t="s">
        <v>1958</v>
      </c>
      <c r="R33" s="81"/>
      <c r="S33" s="81">
        <v>42430</v>
      </c>
      <c r="T33" s="81"/>
      <c r="U33" s="81"/>
      <c r="V33" s="76"/>
      <c r="W33" s="76"/>
      <c r="X33" s="5" t="s">
        <v>894</v>
      </c>
      <c r="Y33" s="5"/>
      <c r="Z33" s="76" t="s">
        <v>899</v>
      </c>
      <c r="AA33" s="82" t="s">
        <v>36</v>
      </c>
      <c r="AB33" s="83" t="s">
        <v>37</v>
      </c>
      <c r="AC33" s="84"/>
      <c r="AD33" s="76"/>
      <c r="AE33" s="76"/>
      <c r="AF33" s="76"/>
      <c r="AG33" s="84"/>
      <c r="AH33" s="76"/>
      <c r="AI33" s="76"/>
      <c r="AJ33" s="76"/>
      <c r="AK33" s="84"/>
      <c r="AL33" s="84"/>
      <c r="AM33" s="84"/>
      <c r="AN33" s="84"/>
      <c r="AO33" s="84"/>
    </row>
    <row r="34" spans="1:41" s="1" customFormat="1" ht="45" customHeight="1" x14ac:dyDescent="0.2">
      <c r="A34" s="75">
        <v>16</v>
      </c>
      <c r="B34" s="75"/>
      <c r="C34" s="76" t="s">
        <v>39</v>
      </c>
      <c r="D34" s="76" t="s">
        <v>936</v>
      </c>
      <c r="E34" s="75" t="s">
        <v>937</v>
      </c>
      <c r="F34" s="75" t="e">
        <f>DATEDIF(P34,Q34,"y") + DATEDIF(T34,U34,"y") + DATEDIF(V34,W34,"y") + SUM(Z34) &amp; " años " &amp; DATEDIF(P34,Q34,"ym") + DATEDIF(T34,U34,"ym") + DATEDIF(V34,W34,"ym") + SUM(AA34) - SUM(AE34) &amp; " meses " &amp; DATEDIF(P34,Q34,"md") + DATEDIF(T34,U34,"md") + DATEDIF(V34,W34,"md") - SUM(AF34) &amp; " días"</f>
        <v>#VALUE!</v>
      </c>
      <c r="G34" s="77">
        <v>0.7</v>
      </c>
      <c r="H34" s="78" t="e">
        <f t="shared" si="1"/>
        <v>#VALUE!</v>
      </c>
      <c r="I34" s="78" t="e">
        <f t="shared" si="2"/>
        <v>#VALUE!</v>
      </c>
      <c r="J34" s="75"/>
      <c r="K34" s="79">
        <f>42907.52+16000</f>
        <v>58907.519999999997</v>
      </c>
      <c r="L34" s="79">
        <f t="shared" si="3"/>
        <v>41235.263999999996</v>
      </c>
      <c r="M34" s="76"/>
      <c r="N34" s="75" t="s">
        <v>42</v>
      </c>
      <c r="O34" s="80" t="s">
        <v>938</v>
      </c>
      <c r="P34" s="81">
        <v>37316</v>
      </c>
      <c r="Q34" s="80" t="s">
        <v>336</v>
      </c>
      <c r="R34" s="81"/>
      <c r="S34" s="81">
        <v>42430</v>
      </c>
      <c r="T34" s="81">
        <v>36617</v>
      </c>
      <c r="U34" s="81">
        <v>37294</v>
      </c>
      <c r="V34" s="76"/>
      <c r="W34" s="76"/>
      <c r="X34" s="5"/>
      <c r="Y34" s="5" t="s">
        <v>134</v>
      </c>
      <c r="Z34" s="76" t="s">
        <v>134</v>
      </c>
      <c r="AA34" s="82" t="s">
        <v>36</v>
      </c>
      <c r="AB34" s="83" t="s">
        <v>37</v>
      </c>
      <c r="AC34" s="84"/>
      <c r="AD34" s="76"/>
      <c r="AE34" s="76"/>
      <c r="AF34" s="76"/>
      <c r="AG34" s="84"/>
      <c r="AH34" s="76"/>
      <c r="AI34" s="76"/>
      <c r="AJ34" s="76"/>
      <c r="AK34" s="84"/>
      <c r="AL34" s="84"/>
      <c r="AM34" s="84"/>
      <c r="AN34" s="84"/>
      <c r="AO34" s="84"/>
    </row>
    <row r="35" spans="1:41" s="1" customFormat="1" ht="45" customHeight="1" x14ac:dyDescent="0.2">
      <c r="A35" s="75">
        <v>17</v>
      </c>
      <c r="B35" s="75"/>
      <c r="C35" s="76" t="s">
        <v>39</v>
      </c>
      <c r="D35" s="76" t="s">
        <v>939</v>
      </c>
      <c r="E35" s="75" t="s">
        <v>940</v>
      </c>
      <c r="F35" s="75" t="e">
        <f>DATEDIF(P35,Q35,"y") + DATEDIF(T35,U35,"y") + DATEDIF(V35,W35,"y") + SUM(AD35) &amp; " años " &amp; DATEDIF(P35,Q35,"ym") + DATEDIF(T35,U35,"ym") + DATEDIF(V35,W35,"ym") + SUM(AE35) - SUM(AI35) &amp; " meses " &amp; DATEDIF(P35,Q35,"md") + DATEDIF(T35,U35,"md") + DATEDIF(V35,W35,"md") - SUM(AJ35) &amp; " días"</f>
        <v>#VALUE!</v>
      </c>
      <c r="G35" s="77">
        <v>1</v>
      </c>
      <c r="H35" s="78" t="e">
        <f t="shared" si="1"/>
        <v>#VALUE!</v>
      </c>
      <c r="I35" s="78" t="e">
        <f t="shared" si="2"/>
        <v>#VALUE!</v>
      </c>
      <c r="J35" s="75"/>
      <c r="K35" s="79">
        <f>42907.52</f>
        <v>42907.519999999997</v>
      </c>
      <c r="L35" s="79">
        <f t="shared" si="3"/>
        <v>42907.519999999997</v>
      </c>
      <c r="M35" s="76"/>
      <c r="N35" s="75" t="s">
        <v>42</v>
      </c>
      <c r="O35" s="80" t="s">
        <v>941</v>
      </c>
      <c r="P35" s="81">
        <v>31951</v>
      </c>
      <c r="Q35" s="80" t="s">
        <v>336</v>
      </c>
      <c r="R35" s="81"/>
      <c r="S35" s="81">
        <v>43158</v>
      </c>
      <c r="T35" s="81">
        <v>31484</v>
      </c>
      <c r="U35" s="81">
        <v>31671</v>
      </c>
      <c r="V35" s="76"/>
      <c r="W35" s="76"/>
      <c r="X35" s="5"/>
      <c r="Y35" s="5"/>
      <c r="Z35" s="76" t="s">
        <v>134</v>
      </c>
      <c r="AA35" s="82" t="s">
        <v>36</v>
      </c>
      <c r="AB35" s="83" t="s">
        <v>37</v>
      </c>
      <c r="AC35" s="84"/>
      <c r="AD35" s="76">
        <v>1</v>
      </c>
      <c r="AE35" s="76"/>
      <c r="AF35" s="76"/>
      <c r="AG35" s="84"/>
      <c r="AH35" s="76"/>
      <c r="AI35" s="76">
        <v>12</v>
      </c>
      <c r="AJ35" s="76"/>
      <c r="AK35" s="84"/>
      <c r="AL35" s="84"/>
      <c r="AM35" s="84"/>
      <c r="AN35" s="84"/>
      <c r="AO35" s="84"/>
    </row>
    <row r="36" spans="1:41" s="1" customFormat="1" ht="45" customHeight="1" x14ac:dyDescent="0.2">
      <c r="A36" s="75">
        <v>18</v>
      </c>
      <c r="B36" s="75"/>
      <c r="C36" s="76" t="s">
        <v>39</v>
      </c>
      <c r="D36" s="76" t="s">
        <v>942</v>
      </c>
      <c r="E36" s="75" t="s">
        <v>943</v>
      </c>
      <c r="F36" s="75" t="e">
        <f>DATEDIF(P36,Q36,"y") + DATEDIF(T36,U36,"y") + DATEDIF(V36,W36,"y") + SUM(AD36) &amp; " años " &amp; DATEDIF(P36,Q36,"ym") + DATEDIF(T36,U36,"ym") + DATEDIF(V36,W36,"ym") + SUM(AE36) - SUM(AI36) &amp; " meses " &amp; DATEDIF(P36,Q36,"md") + DATEDIF(T36,U36,"md") + DATEDIF(V36,W36,"md") - SUM(AJ36) &amp; " días"</f>
        <v>#VALUE!</v>
      </c>
      <c r="G36" s="77">
        <v>1</v>
      </c>
      <c r="H36" s="78" t="e">
        <f t="shared" si="1"/>
        <v>#VALUE!</v>
      </c>
      <c r="I36" s="78" t="e">
        <f t="shared" si="2"/>
        <v>#VALUE!</v>
      </c>
      <c r="J36" s="75"/>
      <c r="K36" s="79">
        <v>60000</v>
      </c>
      <c r="L36" s="79">
        <f t="shared" si="3"/>
        <v>60000</v>
      </c>
      <c r="M36" s="76"/>
      <c r="N36" s="75" t="s">
        <v>42</v>
      </c>
      <c r="O36" s="80" t="s">
        <v>944</v>
      </c>
      <c r="P36" s="81">
        <v>32689</v>
      </c>
      <c r="Q36" s="80" t="s">
        <v>336</v>
      </c>
      <c r="R36" s="81"/>
      <c r="S36" s="81">
        <v>42430</v>
      </c>
      <c r="T36" s="81"/>
      <c r="U36" s="81"/>
      <c r="V36" s="76"/>
      <c r="W36" s="76"/>
      <c r="X36" s="5"/>
      <c r="Y36" s="5"/>
      <c r="Z36" s="76" t="s">
        <v>134</v>
      </c>
      <c r="AA36" s="82" t="s">
        <v>36</v>
      </c>
      <c r="AB36" s="83" t="s">
        <v>37</v>
      </c>
      <c r="AC36" s="84"/>
      <c r="AD36" s="76"/>
      <c r="AE36" s="76"/>
      <c r="AF36" s="76"/>
      <c r="AG36" s="84"/>
      <c r="AH36" s="76"/>
      <c r="AI36" s="76"/>
      <c r="AJ36" s="76"/>
      <c r="AK36" s="84"/>
      <c r="AL36" s="84"/>
      <c r="AM36" s="84"/>
      <c r="AN36" s="84"/>
      <c r="AO36" s="84"/>
    </row>
    <row r="37" spans="1:41" s="1" customFormat="1" ht="45" customHeight="1" x14ac:dyDescent="0.2">
      <c r="A37" s="75">
        <v>19</v>
      </c>
      <c r="B37" s="75"/>
      <c r="C37" s="76" t="s">
        <v>49</v>
      </c>
      <c r="D37" s="76" t="s">
        <v>945</v>
      </c>
      <c r="E37" s="75" t="s">
        <v>946</v>
      </c>
      <c r="F37" s="75" t="e">
        <f t="shared" ref="F37:F47" si="5">DATEDIF(P37,Q37,"y") + DATEDIF(T37,U37,"y") + DATEDIF(V37,W37,"y") + SUM(AD37) &amp; " años " &amp; DATEDIF(P37,Q37,"ym") + DATEDIF(T37,U37,"ym") + DATEDIF(V37,W37,"ym") + SUM(AE37) - SUM(AI37) &amp; " meses " &amp; DATEDIF(P37,Q37,"md") + DATEDIF(T37,U37,"md") + DATEDIF(V37,W37,"md") - SUM(AJ37) &amp; " días"</f>
        <v>#VALUE!</v>
      </c>
      <c r="G37" s="77">
        <v>1</v>
      </c>
      <c r="H37" s="78" t="e">
        <f t="shared" si="1"/>
        <v>#VALUE!</v>
      </c>
      <c r="I37" s="78" t="e">
        <f t="shared" si="2"/>
        <v>#VALUE!</v>
      </c>
      <c r="J37" s="75"/>
      <c r="K37" s="79">
        <f>39234.82+14000</f>
        <v>53234.82</v>
      </c>
      <c r="L37" s="79">
        <f t="shared" si="3"/>
        <v>53234.82</v>
      </c>
      <c r="M37" s="76"/>
      <c r="N37" s="75" t="s">
        <v>42</v>
      </c>
      <c r="O37" s="80" t="s">
        <v>947</v>
      </c>
      <c r="P37" s="81">
        <v>30042</v>
      </c>
      <c r="Q37" s="80" t="s">
        <v>1958</v>
      </c>
      <c r="R37" s="81"/>
      <c r="S37" s="81">
        <v>42430</v>
      </c>
      <c r="T37" s="81"/>
      <c r="U37" s="81"/>
      <c r="V37" s="76"/>
      <c r="W37" s="76"/>
      <c r="X37" s="5"/>
      <c r="Y37" s="5"/>
      <c r="Z37" s="76" t="s">
        <v>35</v>
      </c>
      <c r="AA37" s="82" t="s">
        <v>36</v>
      </c>
      <c r="AB37" s="83" t="s">
        <v>37</v>
      </c>
      <c r="AC37" s="84"/>
      <c r="AD37" s="76"/>
      <c r="AE37" s="76"/>
      <c r="AF37" s="76"/>
      <c r="AG37" s="84"/>
      <c r="AH37" s="76"/>
      <c r="AI37" s="76"/>
      <c r="AJ37" s="76"/>
      <c r="AK37" s="84"/>
      <c r="AL37" s="84"/>
      <c r="AM37" s="84"/>
      <c r="AN37" s="84"/>
      <c r="AO37" s="84"/>
    </row>
    <row r="38" spans="1:41" s="1" customFormat="1" ht="45" customHeight="1" x14ac:dyDescent="0.2">
      <c r="A38" s="75">
        <v>20</v>
      </c>
      <c r="B38" s="75"/>
      <c r="C38" s="76" t="s">
        <v>49</v>
      </c>
      <c r="D38" s="76" t="s">
        <v>948</v>
      </c>
      <c r="E38" s="75" t="s">
        <v>949</v>
      </c>
      <c r="F38" s="75" t="e">
        <f t="shared" si="5"/>
        <v>#VALUE!</v>
      </c>
      <c r="G38" s="77">
        <v>1</v>
      </c>
      <c r="H38" s="78" t="e">
        <f t="shared" si="1"/>
        <v>#VALUE!</v>
      </c>
      <c r="I38" s="78" t="e">
        <f t="shared" si="2"/>
        <v>#VALUE!</v>
      </c>
      <c r="J38" s="75"/>
      <c r="K38" s="79">
        <f>39234.82</f>
        <v>39234.82</v>
      </c>
      <c r="L38" s="79">
        <f t="shared" si="3"/>
        <v>39234.82</v>
      </c>
      <c r="M38" s="76"/>
      <c r="N38" s="75" t="s">
        <v>42</v>
      </c>
      <c r="O38" s="80" t="s">
        <v>950</v>
      </c>
      <c r="P38" s="81">
        <v>30803</v>
      </c>
      <c r="Q38" s="80" t="s">
        <v>1958</v>
      </c>
      <c r="R38" s="81"/>
      <c r="S38" s="81">
        <v>43525</v>
      </c>
      <c r="T38" s="81"/>
      <c r="U38" s="81"/>
      <c r="V38" s="76"/>
      <c r="W38" s="76"/>
      <c r="X38" s="5"/>
      <c r="Y38" s="5"/>
      <c r="Z38" s="76" t="s">
        <v>35</v>
      </c>
      <c r="AA38" s="82" t="s">
        <v>36</v>
      </c>
      <c r="AB38" s="83" t="s">
        <v>37</v>
      </c>
      <c r="AC38" s="84"/>
      <c r="AD38" s="76"/>
      <c r="AE38" s="76"/>
      <c r="AF38" s="76"/>
      <c r="AG38" s="84"/>
      <c r="AH38" s="76"/>
      <c r="AI38" s="76"/>
      <c r="AJ38" s="76"/>
      <c r="AK38" s="84"/>
      <c r="AL38" s="84"/>
      <c r="AM38" s="84"/>
      <c r="AN38" s="84"/>
      <c r="AO38" s="84"/>
    </row>
    <row r="39" spans="1:41" s="1" customFormat="1" ht="45" customHeight="1" x14ac:dyDescent="0.2">
      <c r="A39" s="75">
        <v>21</v>
      </c>
      <c r="B39" s="75"/>
      <c r="C39" s="76" t="s">
        <v>49</v>
      </c>
      <c r="D39" s="76" t="s">
        <v>951</v>
      </c>
      <c r="E39" s="75" t="s">
        <v>952</v>
      </c>
      <c r="F39" s="75" t="e">
        <f t="shared" si="5"/>
        <v>#VALUE!</v>
      </c>
      <c r="G39" s="77">
        <v>1</v>
      </c>
      <c r="H39" s="78" t="e">
        <f t="shared" si="1"/>
        <v>#VALUE!</v>
      </c>
      <c r="I39" s="78" t="e">
        <f t="shared" si="2"/>
        <v>#VALUE!</v>
      </c>
      <c r="J39" s="75"/>
      <c r="K39" s="79">
        <f>35615.53+12000</f>
        <v>47615.53</v>
      </c>
      <c r="L39" s="79">
        <f t="shared" si="3"/>
        <v>47615.53</v>
      </c>
      <c r="M39" s="76"/>
      <c r="N39" s="75" t="s">
        <v>42</v>
      </c>
      <c r="O39" s="80" t="s">
        <v>953</v>
      </c>
      <c r="P39" s="81">
        <v>31079</v>
      </c>
      <c r="Q39" s="80" t="s">
        <v>336</v>
      </c>
      <c r="R39" s="81"/>
      <c r="S39" s="81">
        <v>43888</v>
      </c>
      <c r="T39" s="81"/>
      <c r="U39" s="81"/>
      <c r="V39" s="76"/>
      <c r="W39" s="76"/>
      <c r="X39" s="5"/>
      <c r="Y39" s="5"/>
      <c r="Z39" s="76" t="s">
        <v>35</v>
      </c>
      <c r="AA39" s="82" t="s">
        <v>36</v>
      </c>
      <c r="AB39" s="83" t="s">
        <v>37</v>
      </c>
      <c r="AC39" s="84"/>
      <c r="AD39" s="76"/>
      <c r="AE39" s="76"/>
      <c r="AF39" s="76"/>
      <c r="AG39" s="84"/>
      <c r="AH39" s="76"/>
      <c r="AI39" s="76"/>
      <c r="AJ39" s="76"/>
      <c r="AK39" s="84"/>
      <c r="AL39" s="84"/>
      <c r="AM39" s="84"/>
      <c r="AN39" s="84"/>
      <c r="AO39" s="84"/>
    </row>
    <row r="40" spans="1:41" s="1" customFormat="1" ht="45" customHeight="1" x14ac:dyDescent="0.2">
      <c r="A40" s="75">
        <v>22</v>
      </c>
      <c r="B40" s="75"/>
      <c r="C40" s="76" t="s">
        <v>49</v>
      </c>
      <c r="D40" s="76" t="s">
        <v>954</v>
      </c>
      <c r="E40" s="75" t="s">
        <v>955</v>
      </c>
      <c r="F40" s="75" t="e">
        <f t="shared" si="5"/>
        <v>#VALUE!</v>
      </c>
      <c r="G40" s="77">
        <v>1</v>
      </c>
      <c r="H40" s="78" t="e">
        <f t="shared" si="1"/>
        <v>#VALUE!</v>
      </c>
      <c r="I40" s="78" t="e">
        <f t="shared" si="2"/>
        <v>#VALUE!</v>
      </c>
      <c r="J40" s="75"/>
      <c r="K40" s="79">
        <f t="shared" ref="K40:K42" si="6">39234.82+14000</f>
        <v>53234.82</v>
      </c>
      <c r="L40" s="79">
        <f t="shared" si="3"/>
        <v>53234.82</v>
      </c>
      <c r="M40" s="76"/>
      <c r="N40" s="75" t="s">
        <v>42</v>
      </c>
      <c r="O40" s="80" t="s">
        <v>956</v>
      </c>
      <c r="P40" s="81">
        <v>31057</v>
      </c>
      <c r="Q40" s="80" t="s">
        <v>336</v>
      </c>
      <c r="R40" s="81"/>
      <c r="S40" s="81">
        <v>43525</v>
      </c>
      <c r="T40" s="81"/>
      <c r="U40" s="81"/>
      <c r="V40" s="76"/>
      <c r="W40" s="76"/>
      <c r="X40" s="5"/>
      <c r="Y40" s="5"/>
      <c r="Z40" s="76" t="s">
        <v>35</v>
      </c>
      <c r="AA40" s="82" t="s">
        <v>36</v>
      </c>
      <c r="AB40" s="83" t="s">
        <v>37</v>
      </c>
      <c r="AC40" s="84"/>
      <c r="AD40" s="76"/>
      <c r="AE40" s="76"/>
      <c r="AF40" s="76"/>
      <c r="AG40" s="84"/>
      <c r="AH40" s="76"/>
      <c r="AI40" s="76"/>
      <c r="AJ40" s="76"/>
      <c r="AK40" s="84"/>
      <c r="AL40" s="84"/>
      <c r="AM40" s="84"/>
      <c r="AN40" s="84"/>
      <c r="AO40" s="84"/>
    </row>
    <row r="41" spans="1:41" s="1" customFormat="1" ht="45" customHeight="1" x14ac:dyDescent="0.2">
      <c r="A41" s="75">
        <v>23</v>
      </c>
      <c r="B41" s="75"/>
      <c r="C41" s="76" t="s">
        <v>49</v>
      </c>
      <c r="D41" s="76" t="s">
        <v>957</v>
      </c>
      <c r="E41" s="75" t="s">
        <v>958</v>
      </c>
      <c r="F41" s="75" t="e">
        <f t="shared" si="5"/>
        <v>#VALUE!</v>
      </c>
      <c r="G41" s="77">
        <v>1</v>
      </c>
      <c r="H41" s="78" t="e">
        <f t="shared" si="1"/>
        <v>#VALUE!</v>
      </c>
      <c r="I41" s="78" t="e">
        <f t="shared" si="2"/>
        <v>#VALUE!</v>
      </c>
      <c r="J41" s="75"/>
      <c r="K41" s="79">
        <f t="shared" si="6"/>
        <v>53234.82</v>
      </c>
      <c r="L41" s="79">
        <f t="shared" si="3"/>
        <v>53234.82</v>
      </c>
      <c r="M41" s="76"/>
      <c r="N41" s="75" t="s">
        <v>42</v>
      </c>
      <c r="O41" s="80" t="s">
        <v>959</v>
      </c>
      <c r="P41" s="81">
        <v>30803</v>
      </c>
      <c r="Q41" s="80" t="s">
        <v>1958</v>
      </c>
      <c r="R41" s="81"/>
      <c r="S41" s="81">
        <v>42430</v>
      </c>
      <c r="T41" s="81"/>
      <c r="U41" s="81"/>
      <c r="V41" s="76"/>
      <c r="W41" s="76"/>
      <c r="X41" s="5"/>
      <c r="Y41" s="5"/>
      <c r="Z41" s="76" t="s">
        <v>35</v>
      </c>
      <c r="AA41" s="82" t="s">
        <v>36</v>
      </c>
      <c r="AB41" s="83" t="s">
        <v>37</v>
      </c>
      <c r="AC41" s="84"/>
      <c r="AD41" s="76"/>
      <c r="AE41" s="76"/>
      <c r="AF41" s="76"/>
      <c r="AG41" s="84"/>
      <c r="AH41" s="76"/>
      <c r="AI41" s="76"/>
      <c r="AJ41" s="76"/>
      <c r="AK41" s="84"/>
      <c r="AL41" s="84"/>
      <c r="AM41" s="84"/>
      <c r="AN41" s="84"/>
      <c r="AO41" s="84"/>
    </row>
    <row r="42" spans="1:41" s="1" customFormat="1" ht="45" customHeight="1" x14ac:dyDescent="0.2">
      <c r="A42" s="75">
        <v>24</v>
      </c>
      <c r="B42" s="75"/>
      <c r="C42" s="76" t="s">
        <v>49</v>
      </c>
      <c r="D42" s="76" t="s">
        <v>960</v>
      </c>
      <c r="E42" s="75" t="s">
        <v>961</v>
      </c>
      <c r="F42" s="75" t="e">
        <f t="shared" si="5"/>
        <v>#VALUE!</v>
      </c>
      <c r="G42" s="77">
        <v>1</v>
      </c>
      <c r="H42" s="78" t="e">
        <f t="shared" si="1"/>
        <v>#VALUE!</v>
      </c>
      <c r="I42" s="78" t="e">
        <f t="shared" si="2"/>
        <v>#VALUE!</v>
      </c>
      <c r="J42" s="75" t="s">
        <v>13</v>
      </c>
      <c r="K42" s="79">
        <f t="shared" si="6"/>
        <v>53234.82</v>
      </c>
      <c r="L42" s="79">
        <f t="shared" si="3"/>
        <v>53234.82</v>
      </c>
      <c r="M42" s="76"/>
      <c r="N42" s="75" t="s">
        <v>42</v>
      </c>
      <c r="O42" s="80" t="s">
        <v>962</v>
      </c>
      <c r="P42" s="81">
        <v>32264</v>
      </c>
      <c r="Q42" s="80" t="s">
        <v>336</v>
      </c>
      <c r="R42" s="81"/>
      <c r="S42" s="81">
        <v>40771</v>
      </c>
      <c r="T42" s="81"/>
      <c r="U42" s="81"/>
      <c r="V42" s="76"/>
      <c r="W42" s="76"/>
      <c r="X42" s="5"/>
      <c r="Y42" s="5"/>
      <c r="Z42" s="76" t="s">
        <v>35</v>
      </c>
      <c r="AA42" s="82" t="s">
        <v>36</v>
      </c>
      <c r="AB42" s="83" t="s">
        <v>37</v>
      </c>
      <c r="AC42" s="84"/>
      <c r="AD42" s="76"/>
      <c r="AE42" s="76"/>
      <c r="AF42" s="76"/>
      <c r="AG42" s="84"/>
      <c r="AH42" s="76"/>
      <c r="AI42" s="76"/>
      <c r="AJ42" s="76"/>
      <c r="AK42" s="84"/>
      <c r="AL42" s="84"/>
      <c r="AM42" s="84"/>
      <c r="AN42" s="84"/>
      <c r="AO42" s="84"/>
    </row>
    <row r="43" spans="1:41" s="1" customFormat="1" ht="45" customHeight="1" x14ac:dyDescent="0.2">
      <c r="A43" s="75">
        <v>25</v>
      </c>
      <c r="B43" s="75"/>
      <c r="C43" s="76" t="s">
        <v>49</v>
      </c>
      <c r="D43" s="76" t="s">
        <v>963</v>
      </c>
      <c r="E43" s="75" t="s">
        <v>964</v>
      </c>
      <c r="F43" s="75" t="e">
        <f t="shared" si="5"/>
        <v>#VALUE!</v>
      </c>
      <c r="G43" s="77">
        <v>1</v>
      </c>
      <c r="H43" s="78" t="e">
        <f t="shared" si="1"/>
        <v>#VALUE!</v>
      </c>
      <c r="I43" s="78" t="e">
        <f t="shared" si="2"/>
        <v>#VALUE!</v>
      </c>
      <c r="J43" s="75"/>
      <c r="K43" s="79">
        <f>39234.82</f>
        <v>39234.82</v>
      </c>
      <c r="L43" s="79">
        <f t="shared" si="3"/>
        <v>39234.82</v>
      </c>
      <c r="M43" s="76"/>
      <c r="N43" s="75" t="s">
        <v>42</v>
      </c>
      <c r="O43" s="80" t="s">
        <v>965</v>
      </c>
      <c r="P43" s="81">
        <v>31503</v>
      </c>
      <c r="Q43" s="80" t="s">
        <v>336</v>
      </c>
      <c r="R43" s="81"/>
      <c r="S43" s="81">
        <v>42430</v>
      </c>
      <c r="T43" s="81"/>
      <c r="U43" s="81"/>
      <c r="V43" s="76"/>
      <c r="W43" s="76"/>
      <c r="X43" s="5"/>
      <c r="Y43" s="5"/>
      <c r="Z43" s="76" t="s">
        <v>35</v>
      </c>
      <c r="AA43" s="82" t="s">
        <v>36</v>
      </c>
      <c r="AB43" s="83" t="s">
        <v>37</v>
      </c>
      <c r="AC43" s="84"/>
      <c r="AD43" s="76"/>
      <c r="AE43" s="76"/>
      <c r="AF43" s="76"/>
      <c r="AG43" s="84"/>
      <c r="AH43" s="76"/>
      <c r="AI43" s="76"/>
      <c r="AJ43" s="76"/>
      <c r="AK43" s="84"/>
      <c r="AL43" s="84"/>
      <c r="AM43" s="84"/>
      <c r="AN43" s="84"/>
      <c r="AO43" s="84"/>
    </row>
    <row r="44" spans="1:41" s="1" customFormat="1" ht="45" customHeight="1" x14ac:dyDescent="0.2">
      <c r="A44" s="75">
        <v>26</v>
      </c>
      <c r="B44" s="75"/>
      <c r="C44" s="76" t="s">
        <v>49</v>
      </c>
      <c r="D44" s="76" t="s">
        <v>966</v>
      </c>
      <c r="E44" s="75" t="s">
        <v>967</v>
      </c>
      <c r="F44" s="75" t="e">
        <f t="shared" si="5"/>
        <v>#VALUE!</v>
      </c>
      <c r="G44" s="77">
        <v>1</v>
      </c>
      <c r="H44" s="78" t="e">
        <f t="shared" si="1"/>
        <v>#VALUE!</v>
      </c>
      <c r="I44" s="78" t="e">
        <f t="shared" si="2"/>
        <v>#VALUE!</v>
      </c>
      <c r="J44" s="75"/>
      <c r="K44" s="79">
        <f>39234.82</f>
        <v>39234.82</v>
      </c>
      <c r="L44" s="79">
        <f t="shared" si="3"/>
        <v>39234.82</v>
      </c>
      <c r="M44" s="76"/>
      <c r="N44" s="75" t="s">
        <v>42</v>
      </c>
      <c r="O44" s="80" t="s">
        <v>968</v>
      </c>
      <c r="P44" s="81">
        <v>31472</v>
      </c>
      <c r="Q44" s="80" t="s">
        <v>1958</v>
      </c>
      <c r="R44" s="81"/>
      <c r="S44" s="81">
        <v>43158</v>
      </c>
      <c r="T44" s="81"/>
      <c r="U44" s="81"/>
      <c r="V44" s="76"/>
      <c r="W44" s="76"/>
      <c r="X44" s="5" t="s">
        <v>894</v>
      </c>
      <c r="Y44" s="5"/>
      <c r="Z44" s="76" t="s">
        <v>899</v>
      </c>
      <c r="AA44" s="82" t="s">
        <v>36</v>
      </c>
      <c r="AB44" s="83" t="s">
        <v>37</v>
      </c>
      <c r="AC44" s="84"/>
      <c r="AD44" s="76"/>
      <c r="AE44" s="76"/>
      <c r="AF44" s="76"/>
      <c r="AG44" s="84"/>
      <c r="AH44" s="76"/>
      <c r="AI44" s="76"/>
      <c r="AJ44" s="76"/>
      <c r="AK44" s="84"/>
      <c r="AL44" s="84"/>
      <c r="AM44" s="84"/>
      <c r="AN44" s="84"/>
      <c r="AO44" s="84"/>
    </row>
    <row r="45" spans="1:41" s="1" customFormat="1" ht="45" customHeight="1" x14ac:dyDescent="0.2">
      <c r="A45" s="75">
        <v>27</v>
      </c>
      <c r="B45" s="75"/>
      <c r="C45" s="76" t="s">
        <v>49</v>
      </c>
      <c r="D45" s="76" t="s">
        <v>969</v>
      </c>
      <c r="E45" s="75" t="s">
        <v>970</v>
      </c>
      <c r="F45" s="75" t="e">
        <f t="shared" si="5"/>
        <v>#VALUE!</v>
      </c>
      <c r="G45" s="77">
        <v>1</v>
      </c>
      <c r="H45" s="78" t="e">
        <f t="shared" si="1"/>
        <v>#VALUE!</v>
      </c>
      <c r="I45" s="78" t="e">
        <f t="shared" si="2"/>
        <v>#VALUE!</v>
      </c>
      <c r="J45" s="75"/>
      <c r="K45" s="79">
        <f>39234.82</f>
        <v>39234.82</v>
      </c>
      <c r="L45" s="79">
        <f t="shared" si="3"/>
        <v>39234.82</v>
      </c>
      <c r="M45" s="76"/>
      <c r="N45" s="75" t="s">
        <v>42</v>
      </c>
      <c r="O45" s="80" t="s">
        <v>971</v>
      </c>
      <c r="P45" s="81">
        <v>31444</v>
      </c>
      <c r="Q45" s="80" t="s">
        <v>336</v>
      </c>
      <c r="R45" s="81"/>
      <c r="S45" s="81">
        <v>42430</v>
      </c>
      <c r="T45" s="81"/>
      <c r="U45" s="81"/>
      <c r="V45" s="76"/>
      <c r="W45" s="76"/>
      <c r="X45" s="5"/>
      <c r="Y45" s="5"/>
      <c r="Z45" s="76" t="s">
        <v>35</v>
      </c>
      <c r="AA45" s="82" t="s">
        <v>36</v>
      </c>
      <c r="AB45" s="83" t="s">
        <v>37</v>
      </c>
      <c r="AC45" s="84"/>
      <c r="AD45" s="76"/>
      <c r="AE45" s="76"/>
      <c r="AF45" s="76"/>
      <c r="AG45" s="84"/>
      <c r="AH45" s="76"/>
      <c r="AI45" s="76"/>
      <c r="AJ45" s="76"/>
      <c r="AK45" s="84"/>
      <c r="AL45" s="84"/>
      <c r="AM45" s="84"/>
      <c r="AN45" s="84"/>
      <c r="AO45" s="84"/>
    </row>
    <row r="46" spans="1:41" s="1" customFormat="1" ht="45" customHeight="1" x14ac:dyDescent="0.2">
      <c r="A46" s="75">
        <v>28</v>
      </c>
      <c r="B46" s="75"/>
      <c r="C46" s="76" t="s">
        <v>49</v>
      </c>
      <c r="D46" s="76" t="s">
        <v>972</v>
      </c>
      <c r="E46" s="75" t="s">
        <v>973</v>
      </c>
      <c r="F46" s="75" t="e">
        <f t="shared" si="5"/>
        <v>#VALUE!</v>
      </c>
      <c r="G46" s="77">
        <v>0.7</v>
      </c>
      <c r="H46" s="78" t="e">
        <f t="shared" si="1"/>
        <v>#VALUE!</v>
      </c>
      <c r="I46" s="78" t="e">
        <f t="shared" si="2"/>
        <v>#VALUE!</v>
      </c>
      <c r="J46" s="75"/>
      <c r="K46" s="79">
        <f>35615.53</f>
        <v>35615.53</v>
      </c>
      <c r="L46" s="79">
        <f t="shared" si="3"/>
        <v>24930.870999999999</v>
      </c>
      <c r="M46" s="76"/>
      <c r="N46" s="75" t="s">
        <v>42</v>
      </c>
      <c r="O46" s="80" t="s">
        <v>974</v>
      </c>
      <c r="P46" s="81">
        <v>36708</v>
      </c>
      <c r="Q46" s="80" t="s">
        <v>336</v>
      </c>
      <c r="R46" s="81"/>
      <c r="S46" s="81">
        <v>43888</v>
      </c>
      <c r="T46" s="81"/>
      <c r="U46" s="81"/>
      <c r="V46" s="76"/>
      <c r="W46" s="76"/>
      <c r="X46" s="5"/>
      <c r="Y46" s="5" t="s">
        <v>134</v>
      </c>
      <c r="Z46" s="76" t="s">
        <v>134</v>
      </c>
      <c r="AA46" s="82" t="s">
        <v>36</v>
      </c>
      <c r="AB46" s="83" t="s">
        <v>37</v>
      </c>
      <c r="AC46" s="84"/>
      <c r="AD46" s="76"/>
      <c r="AE46" s="76"/>
      <c r="AF46" s="76"/>
      <c r="AG46" s="84"/>
      <c r="AH46" s="76"/>
      <c r="AI46" s="76"/>
      <c r="AJ46" s="76"/>
      <c r="AK46" s="84"/>
      <c r="AL46" s="84"/>
      <c r="AM46" s="84"/>
      <c r="AN46" s="84"/>
      <c r="AO46" s="84"/>
    </row>
    <row r="47" spans="1:41" s="1" customFormat="1" ht="45" customHeight="1" x14ac:dyDescent="0.2">
      <c r="A47" s="75">
        <v>29</v>
      </c>
      <c r="B47" s="75"/>
      <c r="C47" s="76" t="s">
        <v>49</v>
      </c>
      <c r="D47" s="76" t="s">
        <v>975</v>
      </c>
      <c r="E47" s="75" t="s">
        <v>976</v>
      </c>
      <c r="F47" s="75" t="e">
        <f t="shared" si="5"/>
        <v>#VALUE!</v>
      </c>
      <c r="G47" s="77">
        <v>0.97</v>
      </c>
      <c r="H47" s="78" t="e">
        <f t="shared" si="1"/>
        <v>#VALUE!</v>
      </c>
      <c r="I47" s="78" t="e">
        <f t="shared" si="2"/>
        <v>#VALUE!</v>
      </c>
      <c r="J47" s="75"/>
      <c r="K47" s="79">
        <v>70000</v>
      </c>
      <c r="L47" s="79">
        <f t="shared" si="3"/>
        <v>67900</v>
      </c>
      <c r="M47" s="76"/>
      <c r="N47" s="75" t="s">
        <v>42</v>
      </c>
      <c r="O47" s="80" t="s">
        <v>977</v>
      </c>
      <c r="P47" s="81">
        <v>32905</v>
      </c>
      <c r="Q47" s="80" t="s">
        <v>336</v>
      </c>
      <c r="R47" s="81"/>
      <c r="S47" s="81">
        <v>44619</v>
      </c>
      <c r="T47" s="81"/>
      <c r="U47" s="81"/>
      <c r="V47" s="76"/>
      <c r="W47" s="76"/>
      <c r="X47" s="5"/>
      <c r="Y47" s="5" t="s">
        <v>134</v>
      </c>
      <c r="Z47" s="76" t="s">
        <v>134</v>
      </c>
      <c r="AA47" s="82" t="s">
        <v>36</v>
      </c>
      <c r="AB47" s="83" t="s">
        <v>37</v>
      </c>
      <c r="AC47" s="84"/>
      <c r="AD47" s="76"/>
      <c r="AE47" s="76"/>
      <c r="AF47" s="76"/>
      <c r="AG47" s="84"/>
      <c r="AH47" s="76"/>
      <c r="AI47" s="76"/>
      <c r="AJ47" s="76"/>
      <c r="AK47" s="84"/>
      <c r="AL47" s="84"/>
      <c r="AM47" s="84"/>
      <c r="AN47" s="84"/>
      <c r="AO47" s="84"/>
    </row>
    <row r="48" spans="1:41" s="1" customFormat="1" ht="45" customHeight="1" x14ac:dyDescent="0.2">
      <c r="A48" s="75">
        <v>30</v>
      </c>
      <c r="B48" s="75"/>
      <c r="C48" s="76" t="s">
        <v>49</v>
      </c>
      <c r="D48" s="76" t="s">
        <v>978</v>
      </c>
      <c r="E48" s="75" t="s">
        <v>979</v>
      </c>
      <c r="F48" s="75" t="e">
        <f>DATEDIF(P48,Q48,"y") + DATEDIF(T48,U48,"y") + DATEDIF(V48,W48,"y") + SUM(Z48) &amp; " años " &amp; DATEDIF(P48,Q48,"ym") + DATEDIF(T48,U48,"ym") + DATEDIF(V48,W48,"ym") + SUM(AA48) - SUM(AE48) &amp; " meses " &amp; DATEDIF(P48,Q48,"md") + DATEDIF(T48,U48,"md") + DATEDIF(V48,W48,"md") - SUM(AF48) &amp; " días"</f>
        <v>#VALUE!</v>
      </c>
      <c r="G48" s="77">
        <v>1</v>
      </c>
      <c r="H48" s="78" t="e">
        <f t="shared" si="1"/>
        <v>#VALUE!</v>
      </c>
      <c r="I48" s="78" t="e">
        <f t="shared" si="2"/>
        <v>#VALUE!</v>
      </c>
      <c r="J48" s="75"/>
      <c r="K48" s="79">
        <f>39234.82</f>
        <v>39234.82</v>
      </c>
      <c r="L48" s="79">
        <f t="shared" si="3"/>
        <v>39234.82</v>
      </c>
      <c r="M48" s="76"/>
      <c r="N48" s="75" t="s">
        <v>42</v>
      </c>
      <c r="O48" s="80" t="s">
        <v>980</v>
      </c>
      <c r="P48" s="81">
        <v>31444</v>
      </c>
      <c r="Q48" s="80" t="s">
        <v>336</v>
      </c>
      <c r="R48" s="81"/>
      <c r="S48" s="81">
        <v>43158</v>
      </c>
      <c r="T48" s="81"/>
      <c r="U48" s="81"/>
      <c r="V48" s="76"/>
      <c r="W48" s="76"/>
      <c r="X48" s="5"/>
      <c r="Y48" s="5"/>
      <c r="Z48" s="76" t="s">
        <v>35</v>
      </c>
      <c r="AA48" s="82" t="s">
        <v>36</v>
      </c>
      <c r="AB48" s="83" t="s">
        <v>37</v>
      </c>
      <c r="AC48" s="84"/>
      <c r="AD48" s="76"/>
      <c r="AE48" s="76"/>
      <c r="AF48" s="76"/>
      <c r="AG48" s="84"/>
      <c r="AH48" s="76"/>
      <c r="AI48" s="76"/>
      <c r="AJ48" s="76"/>
      <c r="AK48" s="84"/>
      <c r="AL48" s="84"/>
      <c r="AM48" s="84"/>
      <c r="AN48" s="84"/>
      <c r="AO48" s="84"/>
    </row>
    <row r="49" spans="1:41" s="1" customFormat="1" ht="45" customHeight="1" x14ac:dyDescent="0.2">
      <c r="A49" s="75">
        <v>31</v>
      </c>
      <c r="B49" s="75"/>
      <c r="C49" s="76" t="s">
        <v>49</v>
      </c>
      <c r="D49" s="76" t="s">
        <v>981</v>
      </c>
      <c r="E49" s="75" t="s">
        <v>982</v>
      </c>
      <c r="F49" s="75" t="e">
        <f>DATEDIF(P49,Q49,"y") + DATEDIF(T49,U49,"y") + DATEDIF(V49,W49,"y") + SUM(Z49) &amp; " años " &amp; DATEDIF(P49,Q49,"ym") + DATEDIF(T49,U49,"ym") + DATEDIF(V49,W49,"ym") + SUM(AA49) - SUM(AE49) &amp; " meses " &amp; DATEDIF(P49,Q49,"md") + DATEDIF(T49,U49,"md") + DATEDIF(V49,W49,"md") - SUM(AF49) &amp; " días"</f>
        <v>#VALUE!</v>
      </c>
      <c r="G49" s="77">
        <v>1</v>
      </c>
      <c r="H49" s="78" t="e">
        <f t="shared" si="1"/>
        <v>#VALUE!</v>
      </c>
      <c r="I49" s="78" t="e">
        <f t="shared" si="2"/>
        <v>#VALUE!</v>
      </c>
      <c r="J49" s="75"/>
      <c r="K49" s="79">
        <v>39234.82</v>
      </c>
      <c r="L49" s="79">
        <f t="shared" si="3"/>
        <v>39234.82</v>
      </c>
      <c r="M49" s="76"/>
      <c r="N49" s="75" t="s">
        <v>42</v>
      </c>
      <c r="O49" s="80" t="s">
        <v>983</v>
      </c>
      <c r="P49" s="81">
        <v>32545</v>
      </c>
      <c r="Q49" s="80" t="s">
        <v>336</v>
      </c>
      <c r="R49" s="81"/>
      <c r="S49" s="81">
        <v>43157</v>
      </c>
      <c r="T49" s="81"/>
      <c r="U49" s="81"/>
      <c r="V49" s="76"/>
      <c r="W49" s="76"/>
      <c r="X49" s="5"/>
      <c r="Y49" s="5"/>
      <c r="Z49" s="76" t="s">
        <v>35</v>
      </c>
      <c r="AA49" s="82" t="s">
        <v>36</v>
      </c>
      <c r="AB49" s="83" t="s">
        <v>37</v>
      </c>
      <c r="AC49" s="84"/>
      <c r="AD49" s="76"/>
      <c r="AE49" s="76"/>
      <c r="AF49" s="76"/>
      <c r="AG49" s="84"/>
      <c r="AH49" s="76"/>
      <c r="AI49" s="76"/>
      <c r="AJ49" s="76"/>
      <c r="AK49" s="84"/>
      <c r="AL49" s="84"/>
      <c r="AM49" s="84"/>
      <c r="AN49" s="84"/>
      <c r="AO49" s="84"/>
    </row>
    <row r="50" spans="1:41" s="1" customFormat="1" ht="45" customHeight="1" x14ac:dyDescent="0.2">
      <c r="A50" s="75">
        <v>32</v>
      </c>
      <c r="B50" s="75"/>
      <c r="C50" s="76" t="s">
        <v>49</v>
      </c>
      <c r="D50" s="76" t="s">
        <v>984</v>
      </c>
      <c r="E50" s="75" t="s">
        <v>985</v>
      </c>
      <c r="F50" s="75" t="e">
        <f>DATEDIF(P50,Q50,"y") + DATEDIF(T50,U50,"y") + DATEDIF(V50,W50,"y") + SUM(AD50) &amp; " años " &amp; DATEDIF(P50,Q50,"ym") + DATEDIF(T50,U50,"ym") + DATEDIF(V50,W50,"ym") + SUM(AE50) - SUM(AI50) &amp; " meses " &amp; DATEDIF(P50,Q50,"md") + DATEDIF(T50,U50,"md") + DATEDIF(V50,W50,"md") - SUM(AJ50) &amp; " días"</f>
        <v>#VALUE!</v>
      </c>
      <c r="G50" s="77">
        <v>1</v>
      </c>
      <c r="H50" s="78" t="e">
        <f t="shared" si="1"/>
        <v>#VALUE!</v>
      </c>
      <c r="I50" s="78" t="e">
        <f t="shared" si="2"/>
        <v>#VALUE!</v>
      </c>
      <c r="J50" s="75"/>
      <c r="K50" s="79">
        <v>35615.53</v>
      </c>
      <c r="L50" s="79">
        <f t="shared" si="3"/>
        <v>35615.53</v>
      </c>
      <c r="M50" s="76"/>
      <c r="N50" s="75" t="s">
        <v>42</v>
      </c>
      <c r="O50" s="80" t="s">
        <v>986</v>
      </c>
      <c r="P50" s="81">
        <v>36039</v>
      </c>
      <c r="Q50" s="80" t="s">
        <v>336</v>
      </c>
      <c r="R50" s="81"/>
      <c r="S50" s="81">
        <v>43888</v>
      </c>
      <c r="T50" s="81">
        <v>31594</v>
      </c>
      <c r="U50" s="81">
        <v>35977</v>
      </c>
      <c r="V50" s="76"/>
      <c r="W50" s="76"/>
      <c r="X50" s="5"/>
      <c r="Y50" s="5"/>
      <c r="Z50" s="76" t="s">
        <v>35</v>
      </c>
      <c r="AA50" s="82" t="s">
        <v>36</v>
      </c>
      <c r="AB50" s="83" t="s">
        <v>37</v>
      </c>
      <c r="AC50" s="84"/>
      <c r="AD50" s="76"/>
      <c r="AE50" s="76"/>
      <c r="AF50" s="76"/>
      <c r="AG50" s="84"/>
      <c r="AH50" s="76"/>
      <c r="AI50" s="76"/>
      <c r="AJ50" s="76"/>
      <c r="AK50" s="84"/>
      <c r="AL50" s="84"/>
      <c r="AM50" s="84"/>
      <c r="AN50" s="84"/>
      <c r="AO50" s="84"/>
    </row>
    <row r="51" spans="1:41" s="1" customFormat="1" ht="45" customHeight="1" x14ac:dyDescent="0.2">
      <c r="A51" s="75">
        <v>33</v>
      </c>
      <c r="B51" s="75"/>
      <c r="C51" s="76" t="s">
        <v>49</v>
      </c>
      <c r="D51" s="76" t="s">
        <v>987</v>
      </c>
      <c r="E51" s="75" t="s">
        <v>988</v>
      </c>
      <c r="F51" s="75" t="e">
        <f>DATEDIF(P51,Q51,"y") + DATEDIF(T51,U51,"y") + DATEDIF(V51,W51,"y") + SUM(AD51) &amp; " años " &amp; DATEDIF(P51,Q51,"ym") + DATEDIF(T51,U51,"ym") + DATEDIF(V51,W51,"ym") + SUM(AE51) - SUM(AI51) &amp; " meses " &amp; DATEDIF(P51,Q51,"md") + DATEDIF(T51,U51,"md") + DATEDIF(V51,W51,"md") - SUM(AJ51) &amp; " días"</f>
        <v>#VALUE!</v>
      </c>
      <c r="G51" s="77">
        <v>1</v>
      </c>
      <c r="H51" s="78" t="e">
        <f t="shared" si="1"/>
        <v>#VALUE!</v>
      </c>
      <c r="I51" s="78" t="e">
        <f t="shared" si="2"/>
        <v>#VALUE!</v>
      </c>
      <c r="J51" s="75"/>
      <c r="K51" s="79">
        <f>39234.82</f>
        <v>39234.82</v>
      </c>
      <c r="L51" s="79">
        <f t="shared" si="3"/>
        <v>39234.82</v>
      </c>
      <c r="M51" s="76"/>
      <c r="N51" s="75" t="s">
        <v>42</v>
      </c>
      <c r="O51" s="80" t="s">
        <v>989</v>
      </c>
      <c r="P51" s="81">
        <v>31533</v>
      </c>
      <c r="Q51" s="80" t="s">
        <v>336</v>
      </c>
      <c r="R51" s="81"/>
      <c r="S51" s="81">
        <v>43158</v>
      </c>
      <c r="T51" s="81"/>
      <c r="U51" s="81"/>
      <c r="V51" s="76"/>
      <c r="W51" s="76"/>
      <c r="X51" s="5"/>
      <c r="Y51" s="5"/>
      <c r="Z51" s="76" t="s">
        <v>35</v>
      </c>
      <c r="AA51" s="82" t="s">
        <v>36</v>
      </c>
      <c r="AB51" s="83" t="s">
        <v>37</v>
      </c>
      <c r="AC51" s="84"/>
      <c r="AD51" s="76"/>
      <c r="AE51" s="76"/>
      <c r="AF51" s="76"/>
      <c r="AG51" s="84"/>
      <c r="AH51" s="76"/>
      <c r="AI51" s="76"/>
      <c r="AJ51" s="76"/>
      <c r="AK51" s="84"/>
      <c r="AL51" s="84"/>
      <c r="AM51" s="84"/>
      <c r="AN51" s="84"/>
      <c r="AO51" s="84"/>
    </row>
    <row r="52" spans="1:41" s="1" customFormat="1" ht="45" customHeight="1" x14ac:dyDescent="0.2">
      <c r="A52" s="75">
        <v>34</v>
      </c>
      <c r="B52" s="75"/>
      <c r="C52" s="76" t="s">
        <v>49</v>
      </c>
      <c r="D52" s="76" t="s">
        <v>990</v>
      </c>
      <c r="E52" s="75" t="s">
        <v>991</v>
      </c>
      <c r="F52" s="75" t="e">
        <f>DATEDIF(P52,Q52,"y") + DATEDIF(T52,U52,"y") + DATEDIF(V52,W52,"y") + SUM(AD52) &amp; " años " &amp; DATEDIF(P52,Q52,"ym") + DATEDIF(T52,U52,"ym") + DATEDIF(V52,W52,"ym") + SUM(AE52) - SUM(AI52) &amp; " meses " &amp; DATEDIF(P52,Q52,"md") + DATEDIF(T52,U52,"md") + DATEDIF(V52,W52,"md") - SUM(AJ52) &amp; " días"</f>
        <v>#VALUE!</v>
      </c>
      <c r="G52" s="77">
        <v>1</v>
      </c>
      <c r="H52" s="78" t="e">
        <f t="shared" si="1"/>
        <v>#VALUE!</v>
      </c>
      <c r="I52" s="78" t="e">
        <f t="shared" si="2"/>
        <v>#VALUE!</v>
      </c>
      <c r="J52" s="75"/>
      <c r="K52" s="79">
        <v>39234.82</v>
      </c>
      <c r="L52" s="79">
        <f t="shared" si="3"/>
        <v>39234.82</v>
      </c>
      <c r="M52" s="76"/>
      <c r="N52" s="75" t="s">
        <v>42</v>
      </c>
      <c r="O52" s="80" t="s">
        <v>992</v>
      </c>
      <c r="P52" s="81">
        <v>31444</v>
      </c>
      <c r="Q52" s="80" t="s">
        <v>336</v>
      </c>
      <c r="R52" s="81"/>
      <c r="S52" s="81">
        <v>42430</v>
      </c>
      <c r="T52" s="81"/>
      <c r="U52" s="81"/>
      <c r="V52" s="76"/>
      <c r="W52" s="76"/>
      <c r="X52" s="5"/>
      <c r="Y52" s="5"/>
      <c r="Z52" s="76" t="s">
        <v>35</v>
      </c>
      <c r="AA52" s="82" t="s">
        <v>36</v>
      </c>
      <c r="AB52" s="83" t="s">
        <v>37</v>
      </c>
      <c r="AC52" s="84"/>
      <c r="AD52" s="76"/>
      <c r="AE52" s="76"/>
      <c r="AF52" s="76"/>
      <c r="AG52" s="84"/>
      <c r="AH52" s="76"/>
      <c r="AI52" s="76"/>
      <c r="AJ52" s="76"/>
      <c r="AK52" s="84"/>
      <c r="AL52" s="84"/>
      <c r="AM52" s="84"/>
      <c r="AN52" s="84"/>
      <c r="AO52" s="84"/>
    </row>
    <row r="53" spans="1:41" s="1" customFormat="1" ht="45" customHeight="1" x14ac:dyDescent="0.2">
      <c r="A53" s="75">
        <v>35</v>
      </c>
      <c r="B53" s="75"/>
      <c r="C53" s="76" t="s">
        <v>49</v>
      </c>
      <c r="D53" s="76" t="s">
        <v>993</v>
      </c>
      <c r="E53" s="75" t="s">
        <v>994</v>
      </c>
      <c r="F53" s="75" t="e">
        <f>DATEDIF(P53,Q53,"y") + DATEDIF(T53,U53,"y") + DATEDIF(V53,W53,"y") + SUM(Z53) &amp; " años " &amp; DATEDIF(P53,Q53,"ym") + DATEDIF(T53,U53,"ym") + DATEDIF(V53,W53,"ym") + SUM(AA53) - SUM(AE53) &amp; " meses " &amp; DATEDIF(P53,Q53,"md") + DATEDIF(T53,U53,"md") + DATEDIF(V53,W53,"md") - SUM(AF53) &amp; " días"</f>
        <v>#VALUE!</v>
      </c>
      <c r="G53" s="77">
        <v>0.77500000000000002</v>
      </c>
      <c r="H53" s="78" t="e">
        <f t="shared" si="1"/>
        <v>#VALUE!</v>
      </c>
      <c r="I53" s="78" t="e">
        <f t="shared" si="2"/>
        <v>#VALUE!</v>
      </c>
      <c r="J53" s="75"/>
      <c r="K53" s="79">
        <v>70000</v>
      </c>
      <c r="L53" s="79">
        <f t="shared" si="3"/>
        <v>54250</v>
      </c>
      <c r="M53" s="76"/>
      <c r="N53" s="75" t="s">
        <v>42</v>
      </c>
      <c r="O53" s="80" t="s">
        <v>995</v>
      </c>
      <c r="P53" s="81">
        <v>35400</v>
      </c>
      <c r="Q53" s="80" t="s">
        <v>336</v>
      </c>
      <c r="R53" s="81"/>
      <c r="S53" s="81">
        <v>42430</v>
      </c>
      <c r="T53" s="81"/>
      <c r="U53" s="81"/>
      <c r="V53" s="76"/>
      <c r="W53" s="76"/>
      <c r="X53" s="5"/>
      <c r="Y53" s="5"/>
      <c r="Z53" s="76" t="s">
        <v>134</v>
      </c>
      <c r="AA53" s="82" t="s">
        <v>36</v>
      </c>
      <c r="AB53" s="83" t="s">
        <v>37</v>
      </c>
      <c r="AC53" s="84"/>
      <c r="AD53" s="76"/>
      <c r="AE53" s="76"/>
      <c r="AF53" s="76"/>
      <c r="AG53" s="84"/>
      <c r="AH53" s="76"/>
      <c r="AI53" s="76"/>
      <c r="AJ53" s="76"/>
      <c r="AK53" s="84"/>
      <c r="AL53" s="84"/>
      <c r="AM53" s="84"/>
      <c r="AN53" s="84"/>
      <c r="AO53" s="84"/>
    </row>
    <row r="54" spans="1:41" s="1" customFormat="1" ht="45" customHeight="1" x14ac:dyDescent="0.2">
      <c r="A54" s="75">
        <v>36</v>
      </c>
      <c r="B54" s="75"/>
      <c r="C54" s="76" t="s">
        <v>49</v>
      </c>
      <c r="D54" s="76" t="s">
        <v>996</v>
      </c>
      <c r="E54" s="75" t="s">
        <v>997</v>
      </c>
      <c r="F54" s="75" t="e">
        <f>DATEDIF(P54,Q54,"y") + DATEDIF(T54,U54,"y") + DATEDIF(V54,W54,"y") + SUM(AD54) &amp; " años " &amp; DATEDIF(P54,Q54,"ym") + DATEDIF(T54,U54,"ym") + DATEDIF(V54,W54,"ym") + SUM(AE54) - SUM(AI54) &amp; " meses " &amp; DATEDIF(P54,Q54,"md") + DATEDIF(T54,U54,"md") + DATEDIF(V54,W54,"md") - SUM(AJ54) &amp; " días"</f>
        <v>#VALUE!</v>
      </c>
      <c r="G54" s="77">
        <v>1</v>
      </c>
      <c r="H54" s="78" t="e">
        <f t="shared" si="1"/>
        <v>#VALUE!</v>
      </c>
      <c r="I54" s="78" t="e">
        <f t="shared" si="2"/>
        <v>#VALUE!</v>
      </c>
      <c r="J54" s="75"/>
      <c r="K54" s="79">
        <v>39234.82</v>
      </c>
      <c r="L54" s="79">
        <f t="shared" si="3"/>
        <v>39234.82</v>
      </c>
      <c r="M54" s="76"/>
      <c r="N54" s="75" t="s">
        <v>42</v>
      </c>
      <c r="O54" s="80" t="s">
        <v>998</v>
      </c>
      <c r="P54" s="81">
        <v>32540</v>
      </c>
      <c r="Q54" s="80" t="s">
        <v>336</v>
      </c>
      <c r="R54" s="81"/>
      <c r="S54" s="81">
        <v>43525</v>
      </c>
      <c r="T54" s="81"/>
      <c r="U54" s="81"/>
      <c r="V54" s="76"/>
      <c r="W54" s="76"/>
      <c r="X54" s="5"/>
      <c r="Y54" s="5"/>
      <c r="Z54" s="76" t="s">
        <v>35</v>
      </c>
      <c r="AA54" s="82" t="s">
        <v>36</v>
      </c>
      <c r="AB54" s="83" t="s">
        <v>37</v>
      </c>
      <c r="AC54" s="84"/>
      <c r="AD54" s="76"/>
      <c r="AE54" s="76"/>
      <c r="AF54" s="76"/>
      <c r="AG54" s="84"/>
      <c r="AH54" s="76"/>
      <c r="AI54" s="76"/>
      <c r="AJ54" s="76"/>
      <c r="AK54" s="84"/>
      <c r="AL54" s="84"/>
      <c r="AM54" s="84"/>
      <c r="AN54" s="84"/>
      <c r="AO54" s="84"/>
    </row>
    <row r="55" spans="1:41" s="1" customFormat="1" ht="45" customHeight="1" x14ac:dyDescent="0.2">
      <c r="A55" s="75">
        <v>37</v>
      </c>
      <c r="B55" s="75"/>
      <c r="C55" s="76" t="s">
        <v>49</v>
      </c>
      <c r="D55" s="76" t="s">
        <v>999</v>
      </c>
      <c r="E55" s="75" t="s">
        <v>1000</v>
      </c>
      <c r="F55" s="75" t="e">
        <f>DATEDIF(P55,Q55,"y") + DATEDIF(T55,U55,"y") + DATEDIF(V55,W55,"y") + SUM(AD55) &amp; " años " &amp; DATEDIF(P55,Q55,"ym") + DATEDIF(T55,U55,"ym") + DATEDIF(V55,W55,"ym") + SUM(AE55) - SUM(AI55) &amp; " meses " &amp; DATEDIF(P55,Q55,"md") + DATEDIF(T55,U55,"md") + DATEDIF(V55,W55,"md") - SUM(AJ55) &amp; " días"</f>
        <v>#VALUE!</v>
      </c>
      <c r="G55" s="77">
        <v>1</v>
      </c>
      <c r="H55" s="78" t="e">
        <f t="shared" si="1"/>
        <v>#VALUE!</v>
      </c>
      <c r="I55" s="78" t="e">
        <f t="shared" si="2"/>
        <v>#VALUE!</v>
      </c>
      <c r="J55" s="75"/>
      <c r="K55" s="79">
        <f>39234.82</f>
        <v>39234.82</v>
      </c>
      <c r="L55" s="79">
        <f t="shared" si="3"/>
        <v>39234.82</v>
      </c>
      <c r="M55" s="76"/>
      <c r="N55" s="75" t="s">
        <v>42</v>
      </c>
      <c r="O55" s="80" t="s">
        <v>1001</v>
      </c>
      <c r="P55" s="81">
        <v>37063</v>
      </c>
      <c r="Q55" s="80" t="s">
        <v>336</v>
      </c>
      <c r="R55" s="81"/>
      <c r="S55" s="81">
        <v>43158</v>
      </c>
      <c r="T55" s="81">
        <v>32187</v>
      </c>
      <c r="U55" s="81">
        <v>37062</v>
      </c>
      <c r="V55" s="76"/>
      <c r="W55" s="76"/>
      <c r="X55" s="5"/>
      <c r="Y55" s="5"/>
      <c r="Z55" s="76" t="s">
        <v>35</v>
      </c>
      <c r="AA55" s="82" t="s">
        <v>36</v>
      </c>
      <c r="AB55" s="83" t="s">
        <v>37</v>
      </c>
      <c r="AC55" s="84"/>
      <c r="AD55" s="76">
        <v>1</v>
      </c>
      <c r="AE55" s="76"/>
      <c r="AF55" s="76"/>
      <c r="AG55" s="84"/>
      <c r="AH55" s="76"/>
      <c r="AI55" s="76">
        <v>12</v>
      </c>
      <c r="AJ55" s="76"/>
      <c r="AK55" s="84"/>
      <c r="AL55" s="84"/>
      <c r="AM55" s="84"/>
      <c r="AN55" s="84"/>
      <c r="AO55" s="84"/>
    </row>
    <row r="56" spans="1:41" s="1" customFormat="1" ht="45" customHeight="1" x14ac:dyDescent="0.2">
      <c r="A56" s="75">
        <v>38</v>
      </c>
      <c r="B56" s="75"/>
      <c r="C56" s="76" t="s">
        <v>49</v>
      </c>
      <c r="D56" s="76" t="s">
        <v>1002</v>
      </c>
      <c r="E56" s="75" t="s">
        <v>1003</v>
      </c>
      <c r="F56" s="75" t="e">
        <f>DATEDIF(P56,Q56,"y") + DATEDIF(T56,U56,"y") + DATEDIF(V56,W56,"y") + SUM(Z56) &amp; " años " &amp; DATEDIF(P56,Q56,"ym") + DATEDIF(T56,U56,"ym") + DATEDIF(V56,W56,"ym") + SUM(AA56) - SUM(AE56) &amp; " meses " &amp; DATEDIF(P56,Q56,"md") + DATEDIF(T56,U56,"md") + DATEDIF(V56,W56,"md") - SUM(AF56) &amp; " días"</f>
        <v>#VALUE!</v>
      </c>
      <c r="G56" s="77">
        <v>1</v>
      </c>
      <c r="H56" s="78" t="e">
        <f t="shared" si="1"/>
        <v>#VALUE!</v>
      </c>
      <c r="I56" s="78" t="e">
        <f t="shared" si="2"/>
        <v>#VALUE!</v>
      </c>
      <c r="J56" s="75"/>
      <c r="K56" s="79">
        <v>35615.53</v>
      </c>
      <c r="L56" s="79">
        <f t="shared" si="3"/>
        <v>35615.53</v>
      </c>
      <c r="M56" s="76"/>
      <c r="N56" s="75" t="s">
        <v>42</v>
      </c>
      <c r="O56" s="80" t="s">
        <v>1004</v>
      </c>
      <c r="P56" s="81">
        <v>31138</v>
      </c>
      <c r="Q56" s="80" t="s">
        <v>336</v>
      </c>
      <c r="R56" s="81"/>
      <c r="S56" s="81">
        <v>43888</v>
      </c>
      <c r="T56" s="81"/>
      <c r="U56" s="81"/>
      <c r="V56" s="76"/>
      <c r="W56" s="76"/>
      <c r="X56" s="5"/>
      <c r="Y56" s="5"/>
      <c r="Z56" s="76" t="s">
        <v>134</v>
      </c>
      <c r="AA56" s="82" t="s">
        <v>36</v>
      </c>
      <c r="AB56" s="83" t="s">
        <v>37</v>
      </c>
      <c r="AC56" s="84"/>
      <c r="AD56" s="76"/>
      <c r="AE56" s="76"/>
      <c r="AF56" s="76"/>
      <c r="AG56" s="84"/>
      <c r="AH56" s="76"/>
      <c r="AI56" s="76"/>
      <c r="AJ56" s="76"/>
      <c r="AK56" s="84"/>
      <c r="AL56" s="84"/>
      <c r="AM56" s="84"/>
      <c r="AN56" s="84"/>
      <c r="AO56" s="84"/>
    </row>
    <row r="57" spans="1:41" s="1" customFormat="1" ht="45" customHeight="1" x14ac:dyDescent="0.2">
      <c r="A57" s="75">
        <v>39</v>
      </c>
      <c r="B57" s="75"/>
      <c r="C57" s="76" t="s">
        <v>49</v>
      </c>
      <c r="D57" s="76" t="s">
        <v>1005</v>
      </c>
      <c r="E57" s="75" t="s">
        <v>1006</v>
      </c>
      <c r="F57" s="75" t="e">
        <f>DATEDIF(P57,Q57,"y") + DATEDIF(T57,U57,"y") + DATEDIF(V57,W57,"y") + SUM(Z57) &amp; " años " &amp; DATEDIF(P57,Q57,"ym") + DATEDIF(T57,U57,"ym") + DATEDIF(V57,W57,"ym") + SUM(AA57) - SUM(AE57) &amp; " meses " &amp; DATEDIF(P57,Q57,"md") + DATEDIF(T57,U57,"md") + DATEDIF(V57,W57,"md") - SUM(AF57) &amp; " días"</f>
        <v>#VALUE!</v>
      </c>
      <c r="G57" s="77">
        <v>1</v>
      </c>
      <c r="H57" s="78" t="e">
        <f t="shared" si="1"/>
        <v>#VALUE!</v>
      </c>
      <c r="I57" s="78" t="e">
        <f t="shared" si="2"/>
        <v>#VALUE!</v>
      </c>
      <c r="J57" s="75"/>
      <c r="K57" s="79">
        <f>39234.82+14000</f>
        <v>53234.82</v>
      </c>
      <c r="L57" s="79">
        <f t="shared" si="3"/>
        <v>53234.82</v>
      </c>
      <c r="M57" s="76"/>
      <c r="N57" s="75" t="s">
        <v>42</v>
      </c>
      <c r="O57" s="80" t="s">
        <v>1007</v>
      </c>
      <c r="P57" s="81">
        <v>31057</v>
      </c>
      <c r="Q57" s="80" t="s">
        <v>336</v>
      </c>
      <c r="R57" s="81"/>
      <c r="S57" s="81">
        <v>43525</v>
      </c>
      <c r="T57" s="81"/>
      <c r="U57" s="81"/>
      <c r="V57" s="76"/>
      <c r="W57" s="76"/>
      <c r="X57" s="5"/>
      <c r="Y57" s="5"/>
      <c r="Z57" s="76" t="s">
        <v>134</v>
      </c>
      <c r="AA57" s="82" t="s">
        <v>36</v>
      </c>
      <c r="AB57" s="83" t="s">
        <v>37</v>
      </c>
      <c r="AC57" s="84"/>
      <c r="AD57" s="76"/>
      <c r="AE57" s="76"/>
      <c r="AF57" s="76"/>
      <c r="AG57" s="84"/>
      <c r="AH57" s="76"/>
      <c r="AI57" s="76"/>
      <c r="AJ57" s="76"/>
      <c r="AK57" s="84"/>
      <c r="AL57" s="84"/>
      <c r="AM57" s="84"/>
      <c r="AN57" s="84"/>
      <c r="AO57" s="84"/>
    </row>
    <row r="58" spans="1:41" s="1" customFormat="1" ht="45" customHeight="1" x14ac:dyDescent="0.2">
      <c r="A58" s="75">
        <v>40</v>
      </c>
      <c r="B58" s="75"/>
      <c r="C58" s="76" t="s">
        <v>49</v>
      </c>
      <c r="D58" s="76" t="s">
        <v>1008</v>
      </c>
      <c r="E58" s="75" t="s">
        <v>1009</v>
      </c>
      <c r="F58" s="75" t="e">
        <f>DATEDIF(P58,Q58,"y") + DATEDIF(T58,U58,"y") + DATEDIF(V58,W58,"y") + SUM(Z58) &amp; " años " &amp; DATEDIF(P58,Q58,"ym") + DATEDIF(T58,U58,"ym") + DATEDIF(V58,W58,"ym") + SUM(AA58) - SUM(AE58) &amp; " meses " &amp; DATEDIF(P58,Q58,"md") + DATEDIF(T58,U58,"md") + DATEDIF(V58,W58,"md") - SUM(AF58) &amp; " días"</f>
        <v>#VALUE!</v>
      </c>
      <c r="G58" s="77">
        <v>1</v>
      </c>
      <c r="H58" s="78" t="e">
        <f t="shared" si="1"/>
        <v>#VALUE!</v>
      </c>
      <c r="I58" s="78" t="e">
        <f t="shared" si="2"/>
        <v>#VALUE!</v>
      </c>
      <c r="J58" s="75"/>
      <c r="K58" s="79">
        <f>39234.82+14000</f>
        <v>53234.82</v>
      </c>
      <c r="L58" s="79">
        <f t="shared" si="3"/>
        <v>53234.82</v>
      </c>
      <c r="M58" s="76"/>
      <c r="N58" s="75" t="s">
        <v>42</v>
      </c>
      <c r="O58" s="80" t="s">
        <v>1010</v>
      </c>
      <c r="P58" s="81">
        <v>30803</v>
      </c>
      <c r="Q58" s="80" t="s">
        <v>336</v>
      </c>
      <c r="R58" s="81"/>
      <c r="S58" s="81">
        <v>43158</v>
      </c>
      <c r="T58" s="81"/>
      <c r="U58" s="81"/>
      <c r="V58" s="76"/>
      <c r="W58" s="76"/>
      <c r="X58" s="5"/>
      <c r="Y58" s="5"/>
      <c r="Z58" s="76" t="s">
        <v>134</v>
      </c>
      <c r="AA58" s="82" t="s">
        <v>36</v>
      </c>
      <c r="AB58" s="83" t="s">
        <v>37</v>
      </c>
      <c r="AC58" s="84"/>
      <c r="AD58" s="76"/>
      <c r="AE58" s="76"/>
      <c r="AF58" s="76"/>
      <c r="AG58" s="84"/>
      <c r="AH58" s="76"/>
      <c r="AI58" s="76"/>
      <c r="AJ58" s="76"/>
      <c r="AK58" s="84"/>
      <c r="AL58" s="84"/>
      <c r="AM58" s="84"/>
      <c r="AN58" s="84"/>
      <c r="AO58" s="84"/>
    </row>
    <row r="59" spans="1:41" s="1" customFormat="1" ht="45" customHeight="1" x14ac:dyDescent="0.2">
      <c r="A59" s="75">
        <v>41</v>
      </c>
      <c r="B59" s="75"/>
      <c r="C59" s="76" t="s">
        <v>49</v>
      </c>
      <c r="D59" s="76" t="s">
        <v>1011</v>
      </c>
      <c r="E59" s="75" t="s">
        <v>1012</v>
      </c>
      <c r="F59" s="75" t="e">
        <f t="shared" ref="F59:F64" si="7">DATEDIF(P59,Q59,"y") + DATEDIF(T59,U59,"y") + DATEDIF(V59,W59,"y") + SUM(AD59) &amp; " años " &amp; DATEDIF(P59,Q59,"ym") + DATEDIF(T59,U59,"ym") + DATEDIF(V59,W59,"ym") + SUM(AE59) - SUM(AI59) &amp; " meses " &amp; DATEDIF(P59,Q59,"md") + DATEDIF(T59,U59,"md") + DATEDIF(V59,W59,"md") - SUM(AJ59) &amp; " días"</f>
        <v>#VALUE!</v>
      </c>
      <c r="G59" s="77">
        <v>1</v>
      </c>
      <c r="H59" s="78" t="e">
        <f t="shared" si="1"/>
        <v>#VALUE!</v>
      </c>
      <c r="I59" s="78" t="e">
        <f t="shared" si="2"/>
        <v>#VALUE!</v>
      </c>
      <c r="J59" s="75"/>
      <c r="K59" s="79">
        <f>39234.82+14000</f>
        <v>53234.82</v>
      </c>
      <c r="L59" s="79">
        <f t="shared" si="3"/>
        <v>53234.82</v>
      </c>
      <c r="M59" s="76"/>
      <c r="N59" s="75" t="s">
        <v>42</v>
      </c>
      <c r="O59" s="80" t="s">
        <v>1013</v>
      </c>
      <c r="P59" s="81">
        <v>29860</v>
      </c>
      <c r="Q59" s="80" t="s">
        <v>1958</v>
      </c>
      <c r="R59" s="81"/>
      <c r="S59" s="81">
        <v>43525</v>
      </c>
      <c r="T59" s="81"/>
      <c r="U59" s="81"/>
      <c r="V59" s="76"/>
      <c r="W59" s="76"/>
      <c r="X59" s="5"/>
      <c r="Y59" s="5"/>
      <c r="Z59" s="76" t="s">
        <v>134</v>
      </c>
      <c r="AA59" s="82" t="s">
        <v>36</v>
      </c>
      <c r="AB59" s="83" t="s">
        <v>37</v>
      </c>
      <c r="AC59" s="84"/>
      <c r="AD59" s="76"/>
      <c r="AE59" s="76"/>
      <c r="AF59" s="76"/>
      <c r="AG59" s="84"/>
      <c r="AH59" s="76"/>
      <c r="AI59" s="76"/>
      <c r="AJ59" s="76"/>
      <c r="AK59" s="84"/>
      <c r="AL59" s="84"/>
      <c r="AM59" s="84"/>
      <c r="AN59" s="84"/>
      <c r="AO59" s="84"/>
    </row>
    <row r="60" spans="1:41" s="1" customFormat="1" ht="45" customHeight="1" x14ac:dyDescent="0.2">
      <c r="A60" s="75">
        <v>42</v>
      </c>
      <c r="B60" s="75"/>
      <c r="C60" s="76" t="s">
        <v>49</v>
      </c>
      <c r="D60" s="76" t="s">
        <v>1014</v>
      </c>
      <c r="E60" s="75" t="s">
        <v>1015</v>
      </c>
      <c r="F60" s="75" t="e">
        <f t="shared" si="7"/>
        <v>#VALUE!</v>
      </c>
      <c r="G60" s="77">
        <v>1</v>
      </c>
      <c r="H60" s="78" t="e">
        <f t="shared" si="1"/>
        <v>#VALUE!</v>
      </c>
      <c r="I60" s="78" t="e">
        <f t="shared" si="2"/>
        <v>#VALUE!</v>
      </c>
      <c r="J60" s="75"/>
      <c r="K60" s="79">
        <v>39234.82</v>
      </c>
      <c r="L60" s="79">
        <f t="shared" si="3"/>
        <v>39234.82</v>
      </c>
      <c r="M60" s="76"/>
      <c r="N60" s="75" t="s">
        <v>42</v>
      </c>
      <c r="O60" s="80" t="s">
        <v>1016</v>
      </c>
      <c r="P60" s="81">
        <v>34060</v>
      </c>
      <c r="Q60" s="80" t="s">
        <v>336</v>
      </c>
      <c r="R60" s="81"/>
      <c r="S60" s="81">
        <v>43158</v>
      </c>
      <c r="T60" s="81">
        <v>30590</v>
      </c>
      <c r="U60" s="81">
        <v>33511</v>
      </c>
      <c r="V60" s="76"/>
      <c r="W60" s="76"/>
      <c r="X60" s="5"/>
      <c r="Y60" s="5"/>
      <c r="Z60" s="76" t="s">
        <v>134</v>
      </c>
      <c r="AA60" s="82" t="s">
        <v>36</v>
      </c>
      <c r="AB60" s="83" t="s">
        <v>37</v>
      </c>
      <c r="AC60" s="84"/>
      <c r="AD60" s="76">
        <v>1</v>
      </c>
      <c r="AE60" s="76"/>
      <c r="AF60" s="76"/>
      <c r="AG60" s="84"/>
      <c r="AH60" s="76"/>
      <c r="AI60" s="76">
        <v>12</v>
      </c>
      <c r="AJ60" s="76"/>
      <c r="AK60" s="84"/>
      <c r="AL60" s="84"/>
      <c r="AM60" s="84"/>
      <c r="AN60" s="84"/>
      <c r="AO60" s="84"/>
    </row>
    <row r="61" spans="1:41" s="1" customFormat="1" ht="45" customHeight="1" x14ac:dyDescent="0.2">
      <c r="A61" s="75">
        <v>43</v>
      </c>
      <c r="B61" s="75"/>
      <c r="C61" s="76" t="s">
        <v>49</v>
      </c>
      <c r="D61" s="76" t="s">
        <v>1017</v>
      </c>
      <c r="E61" s="75" t="s">
        <v>1018</v>
      </c>
      <c r="F61" s="75" t="e">
        <f t="shared" si="7"/>
        <v>#VALUE!</v>
      </c>
      <c r="G61" s="85">
        <v>0.67500000000000004</v>
      </c>
      <c r="H61" s="78" t="e">
        <f t="shared" si="1"/>
        <v>#VALUE!</v>
      </c>
      <c r="I61" s="78" t="e">
        <f t="shared" si="2"/>
        <v>#VALUE!</v>
      </c>
      <c r="J61" s="75"/>
      <c r="K61" s="79">
        <v>39234.82</v>
      </c>
      <c r="L61" s="79">
        <f t="shared" si="3"/>
        <v>26483.503500000003</v>
      </c>
      <c r="M61" s="76"/>
      <c r="N61" s="75" t="s">
        <v>42</v>
      </c>
      <c r="O61" s="80" t="s">
        <v>1019</v>
      </c>
      <c r="P61" s="81">
        <v>36845</v>
      </c>
      <c r="Q61" s="80" t="s">
        <v>336</v>
      </c>
      <c r="R61" s="81"/>
      <c r="S61" s="81">
        <v>42430</v>
      </c>
      <c r="T61" s="81"/>
      <c r="U61" s="81"/>
      <c r="V61" s="76"/>
      <c r="W61" s="76"/>
      <c r="X61" s="5"/>
      <c r="Y61" s="5"/>
      <c r="Z61" s="76" t="s">
        <v>48</v>
      </c>
      <c r="AA61" s="82" t="s">
        <v>36</v>
      </c>
      <c r="AB61" s="83" t="s">
        <v>37</v>
      </c>
      <c r="AC61" s="84"/>
      <c r="AD61" s="76"/>
      <c r="AE61" s="76"/>
      <c r="AF61" s="76"/>
      <c r="AG61" s="84"/>
      <c r="AH61" s="76"/>
      <c r="AI61" s="76"/>
      <c r="AJ61" s="76"/>
      <c r="AK61" s="84"/>
      <c r="AL61" s="84"/>
      <c r="AM61" s="84"/>
      <c r="AN61" s="84"/>
      <c r="AO61" s="84"/>
    </row>
    <row r="62" spans="1:41" s="1" customFormat="1" ht="45" customHeight="1" x14ac:dyDescent="0.2">
      <c r="A62" s="75">
        <v>44</v>
      </c>
      <c r="B62" s="75"/>
      <c r="C62" s="76" t="s">
        <v>49</v>
      </c>
      <c r="D62" s="76" t="s">
        <v>1020</v>
      </c>
      <c r="E62" s="75" t="s">
        <v>1021</v>
      </c>
      <c r="F62" s="75" t="e">
        <f t="shared" si="7"/>
        <v>#VALUE!</v>
      </c>
      <c r="G62" s="77">
        <v>0.88</v>
      </c>
      <c r="H62" s="78" t="e">
        <f t="shared" si="1"/>
        <v>#VALUE!</v>
      </c>
      <c r="I62" s="78" t="e">
        <f t="shared" si="2"/>
        <v>#VALUE!</v>
      </c>
      <c r="J62" s="75" t="s">
        <v>13</v>
      </c>
      <c r="K62" s="79">
        <v>39234.82</v>
      </c>
      <c r="L62" s="79">
        <f t="shared" si="3"/>
        <v>34526.641600000003</v>
      </c>
      <c r="M62" s="76" t="s">
        <v>1022</v>
      </c>
      <c r="N62" s="75" t="s">
        <v>33</v>
      </c>
      <c r="O62" s="80" t="s">
        <v>1023</v>
      </c>
      <c r="P62" s="81">
        <v>37724</v>
      </c>
      <c r="Q62" s="80" t="s">
        <v>1951</v>
      </c>
      <c r="R62" s="105" t="s">
        <v>1022</v>
      </c>
      <c r="S62" s="81">
        <v>40603</v>
      </c>
      <c r="T62" s="81"/>
      <c r="U62" s="81"/>
      <c r="V62" s="76"/>
      <c r="W62" s="76"/>
      <c r="X62" s="5"/>
      <c r="Y62" s="5"/>
      <c r="Z62" s="76" t="s">
        <v>48</v>
      </c>
      <c r="AA62" s="82" t="s">
        <v>36</v>
      </c>
      <c r="AB62" s="83" t="s">
        <v>37</v>
      </c>
      <c r="AC62" s="84"/>
      <c r="AD62" s="76"/>
      <c r="AE62" s="76"/>
      <c r="AF62" s="76"/>
      <c r="AG62" s="84"/>
      <c r="AH62" s="76"/>
      <c r="AI62" s="76"/>
      <c r="AJ62" s="76"/>
      <c r="AK62" s="84"/>
      <c r="AL62" s="84"/>
      <c r="AM62" s="84"/>
      <c r="AN62" s="84"/>
      <c r="AO62" s="84"/>
    </row>
    <row r="63" spans="1:41" s="1" customFormat="1" ht="45" customHeight="1" x14ac:dyDescent="0.2">
      <c r="A63" s="75">
        <v>45</v>
      </c>
      <c r="B63" s="75"/>
      <c r="C63" s="76" t="s">
        <v>49</v>
      </c>
      <c r="D63" s="76" t="s">
        <v>1024</v>
      </c>
      <c r="E63" s="75" t="s">
        <v>1025</v>
      </c>
      <c r="F63" s="75" t="e">
        <f t="shared" si="7"/>
        <v>#VALUE!</v>
      </c>
      <c r="G63" s="77">
        <v>0.65</v>
      </c>
      <c r="H63" s="78" t="e">
        <f t="shared" si="1"/>
        <v>#VALUE!</v>
      </c>
      <c r="I63" s="78" t="e">
        <f t="shared" si="2"/>
        <v>#VALUE!</v>
      </c>
      <c r="J63" s="75"/>
      <c r="K63" s="79">
        <v>39234.82</v>
      </c>
      <c r="L63" s="79">
        <f t="shared" si="3"/>
        <v>25502.633000000002</v>
      </c>
      <c r="M63" s="76"/>
      <c r="N63" s="75" t="s">
        <v>42</v>
      </c>
      <c r="O63" s="80" t="s">
        <v>1026</v>
      </c>
      <c r="P63" s="81">
        <v>37377</v>
      </c>
      <c r="Q63" s="80" t="s">
        <v>336</v>
      </c>
      <c r="R63" s="81"/>
      <c r="S63" s="81">
        <v>43525</v>
      </c>
      <c r="T63" s="81"/>
      <c r="U63" s="81"/>
      <c r="V63" s="76"/>
      <c r="W63" s="76"/>
      <c r="X63" s="5" t="s">
        <v>1027</v>
      </c>
      <c r="Y63" s="5"/>
      <c r="Z63" s="76" t="s">
        <v>129</v>
      </c>
      <c r="AA63" s="82" t="s">
        <v>36</v>
      </c>
      <c r="AB63" s="83" t="s">
        <v>37</v>
      </c>
      <c r="AC63" s="84"/>
      <c r="AD63" s="76"/>
      <c r="AE63" s="76"/>
      <c r="AF63" s="76"/>
      <c r="AG63" s="84"/>
      <c r="AH63" s="76"/>
      <c r="AI63" s="76"/>
      <c r="AJ63" s="76"/>
      <c r="AK63" s="84"/>
      <c r="AL63" s="84"/>
      <c r="AM63" s="84"/>
      <c r="AN63" s="84"/>
      <c r="AO63" s="84"/>
    </row>
    <row r="64" spans="1:41" s="1" customFormat="1" ht="45" customHeight="1" x14ac:dyDescent="0.2">
      <c r="A64" s="75">
        <v>46</v>
      </c>
      <c r="B64" s="75"/>
      <c r="C64" s="76" t="s">
        <v>1028</v>
      </c>
      <c r="D64" s="76" t="s">
        <v>1029</v>
      </c>
      <c r="E64" s="75" t="s">
        <v>1030</v>
      </c>
      <c r="F64" s="75" t="e">
        <f t="shared" si="7"/>
        <v>#VALUE!</v>
      </c>
      <c r="G64" s="77">
        <v>1</v>
      </c>
      <c r="H64" s="78" t="e">
        <f t="shared" si="1"/>
        <v>#VALUE!</v>
      </c>
      <c r="I64" s="78" t="e">
        <f t="shared" si="2"/>
        <v>#VALUE!</v>
      </c>
      <c r="J64" s="75" t="s">
        <v>13</v>
      </c>
      <c r="K64" s="79">
        <f t="shared" ref="K64:K72" si="8">35615.53</f>
        <v>35615.53</v>
      </c>
      <c r="L64" s="79">
        <f t="shared" si="3"/>
        <v>35615.53</v>
      </c>
      <c r="M64" s="76"/>
      <c r="N64" s="75" t="s">
        <v>42</v>
      </c>
      <c r="O64" s="80" t="s">
        <v>1031</v>
      </c>
      <c r="P64" s="81">
        <v>31594</v>
      </c>
      <c r="Q64" s="80" t="s">
        <v>336</v>
      </c>
      <c r="R64" s="81"/>
      <c r="S64" s="81">
        <v>40969</v>
      </c>
      <c r="T64" s="81"/>
      <c r="U64" s="81"/>
      <c r="V64" s="76"/>
      <c r="W64" s="76"/>
      <c r="X64" s="5"/>
      <c r="Y64" s="5"/>
      <c r="Z64" s="76" t="s">
        <v>1032</v>
      </c>
      <c r="AA64" s="82" t="s">
        <v>36</v>
      </c>
      <c r="AB64" s="83" t="s">
        <v>37</v>
      </c>
      <c r="AC64" s="84"/>
      <c r="AD64" s="76"/>
      <c r="AE64" s="76"/>
      <c r="AF64" s="76"/>
      <c r="AG64" s="84"/>
      <c r="AH64" s="76"/>
      <c r="AI64" s="76"/>
      <c r="AJ64" s="76"/>
      <c r="AK64" s="84"/>
      <c r="AL64" s="84"/>
      <c r="AM64" s="84"/>
      <c r="AN64" s="84"/>
      <c r="AO64" s="84"/>
    </row>
    <row r="65" spans="1:41" s="1" customFormat="1" ht="45" customHeight="1" x14ac:dyDescent="0.2">
      <c r="A65" s="75">
        <v>47</v>
      </c>
      <c r="B65" s="75"/>
      <c r="C65" s="76" t="s">
        <v>1028</v>
      </c>
      <c r="D65" s="76" t="s">
        <v>1033</v>
      </c>
      <c r="E65" s="75" t="s">
        <v>1034</v>
      </c>
      <c r="F65" s="75" t="e">
        <f>DATEDIF(P65,Q65,"y") + DATEDIF(T65,U65,"y") + DATEDIF(V65,W65,"y") + SUM(Z65) &amp; " años " &amp; DATEDIF(P65,Q65,"ym") + DATEDIF(T65,U65,"ym") + DATEDIF(V65,W65,"ym") + SUM(AA65) - SUM(AE65) &amp; " meses " &amp; DATEDIF(P65,Q65,"md") + DATEDIF(T65,U65,"md") + DATEDIF(V65,W65,"md") - SUM(AF65) &amp; " días"</f>
        <v>#VALUE!</v>
      </c>
      <c r="G65" s="77">
        <v>1</v>
      </c>
      <c r="H65" s="78" t="e">
        <f t="shared" si="1"/>
        <v>#VALUE!</v>
      </c>
      <c r="I65" s="78" t="e">
        <f t="shared" si="2"/>
        <v>#VALUE!</v>
      </c>
      <c r="J65" s="75"/>
      <c r="K65" s="79">
        <f t="shared" si="8"/>
        <v>35615.53</v>
      </c>
      <c r="L65" s="79">
        <f t="shared" si="3"/>
        <v>35615.53</v>
      </c>
      <c r="M65" s="76"/>
      <c r="N65" s="75" t="s">
        <v>42</v>
      </c>
      <c r="O65" s="80" t="s">
        <v>1035</v>
      </c>
      <c r="P65" s="81">
        <v>31594</v>
      </c>
      <c r="Q65" s="80" t="s">
        <v>336</v>
      </c>
      <c r="R65" s="81"/>
      <c r="S65" s="81">
        <v>41699</v>
      </c>
      <c r="T65" s="81"/>
      <c r="U65" s="81"/>
      <c r="V65" s="76"/>
      <c r="W65" s="76"/>
      <c r="X65" s="5"/>
      <c r="Y65" s="5"/>
      <c r="Z65" s="76" t="s">
        <v>1032</v>
      </c>
      <c r="AA65" s="82" t="s">
        <v>36</v>
      </c>
      <c r="AB65" s="83" t="s">
        <v>37</v>
      </c>
      <c r="AC65" s="84"/>
      <c r="AD65" s="76"/>
      <c r="AE65" s="76"/>
      <c r="AF65" s="76"/>
      <c r="AG65" s="84"/>
      <c r="AH65" s="76"/>
      <c r="AI65" s="76"/>
      <c r="AJ65" s="76"/>
      <c r="AK65" s="84"/>
      <c r="AL65" s="84"/>
      <c r="AM65" s="84"/>
      <c r="AN65" s="84"/>
      <c r="AO65" s="84"/>
    </row>
    <row r="66" spans="1:41" s="1" customFormat="1" ht="45" customHeight="1" x14ac:dyDescent="0.2">
      <c r="A66" s="75">
        <v>48</v>
      </c>
      <c r="B66" s="75"/>
      <c r="C66" s="76" t="s">
        <v>1028</v>
      </c>
      <c r="D66" s="76" t="s">
        <v>1036</v>
      </c>
      <c r="E66" s="75" t="s">
        <v>1037</v>
      </c>
      <c r="F66" s="75" t="e">
        <f>DATEDIF(P66,Q66,"y") + DATEDIF(T66,U66,"y") + DATEDIF(V66,W66,"y") + SUM(Z66) &amp; " años " &amp; DATEDIF(P66,Q66,"ym") + DATEDIF(T66,U66,"ym") + DATEDIF(V66,W66,"ym") + SUM(AA66) - SUM(AE66) &amp; " meses " &amp; DATEDIF(P66,Q66,"md") + DATEDIF(T66,U66,"md") + DATEDIF(V66,W66,"md") - SUM(AF66) &amp; " días"</f>
        <v>#VALUE!</v>
      </c>
      <c r="G66" s="77">
        <v>1</v>
      </c>
      <c r="H66" s="78" t="e">
        <f t="shared" si="1"/>
        <v>#VALUE!</v>
      </c>
      <c r="I66" s="78" t="e">
        <f t="shared" si="2"/>
        <v>#VALUE!</v>
      </c>
      <c r="J66" s="75"/>
      <c r="K66" s="79">
        <f t="shared" si="8"/>
        <v>35615.53</v>
      </c>
      <c r="L66" s="79">
        <f t="shared" si="3"/>
        <v>35615.53</v>
      </c>
      <c r="M66" s="76"/>
      <c r="N66" s="75" t="s">
        <v>42</v>
      </c>
      <c r="O66" s="80" t="s">
        <v>1038</v>
      </c>
      <c r="P66" s="81">
        <v>31503</v>
      </c>
      <c r="Q66" s="80" t="s">
        <v>336</v>
      </c>
      <c r="R66" s="81"/>
      <c r="S66" s="81">
        <v>42430</v>
      </c>
      <c r="T66" s="81"/>
      <c r="U66" s="81"/>
      <c r="V66" s="76"/>
      <c r="W66" s="76"/>
      <c r="X66" s="5"/>
      <c r="Y66" s="5"/>
      <c r="Z66" s="76" t="s">
        <v>1032</v>
      </c>
      <c r="AA66" s="82" t="s">
        <v>36</v>
      </c>
      <c r="AB66" s="83" t="s">
        <v>37</v>
      </c>
      <c r="AC66" s="84"/>
      <c r="AD66" s="76"/>
      <c r="AE66" s="76"/>
      <c r="AF66" s="76"/>
      <c r="AG66" s="84"/>
      <c r="AH66" s="76"/>
      <c r="AI66" s="76"/>
      <c r="AJ66" s="76"/>
      <c r="AK66" s="84"/>
      <c r="AL66" s="84"/>
      <c r="AM66" s="84"/>
      <c r="AN66" s="84"/>
      <c r="AO66" s="84"/>
    </row>
    <row r="67" spans="1:41" s="1" customFormat="1" ht="45" customHeight="1" x14ac:dyDescent="0.2">
      <c r="A67" s="75">
        <v>49</v>
      </c>
      <c r="B67" s="75"/>
      <c r="C67" s="76" t="s">
        <v>1028</v>
      </c>
      <c r="D67" s="76" t="s">
        <v>1039</v>
      </c>
      <c r="E67" s="75" t="s">
        <v>1040</v>
      </c>
      <c r="F67" s="75" t="e">
        <f>DATEDIF(P67,Q67,"y") + DATEDIF(T67,U67,"y") + DATEDIF(V67,W67,"y") + SUM(Z67) &amp; " años " &amp; DATEDIF(P67,Q67,"ym") + DATEDIF(T67,U67,"ym") + DATEDIF(V67,W67,"ym") + SUM(AA67) - SUM(AE67) &amp; " meses " &amp; DATEDIF(P67,Q67,"md") + DATEDIF(T67,U67,"md") + DATEDIF(V67,W67,"md") - SUM(AF67) &amp; " días"</f>
        <v>#VALUE!</v>
      </c>
      <c r="G67" s="77">
        <v>1</v>
      </c>
      <c r="H67" s="78" t="e">
        <f t="shared" si="1"/>
        <v>#VALUE!</v>
      </c>
      <c r="I67" s="78" t="e">
        <f t="shared" si="2"/>
        <v>#VALUE!</v>
      </c>
      <c r="J67" s="75"/>
      <c r="K67" s="79">
        <f t="shared" si="8"/>
        <v>35615.53</v>
      </c>
      <c r="L67" s="79">
        <f t="shared" si="3"/>
        <v>35615.53</v>
      </c>
      <c r="M67" s="76"/>
      <c r="N67" s="75" t="s">
        <v>42</v>
      </c>
      <c r="O67" s="80" t="s">
        <v>1041</v>
      </c>
      <c r="P67" s="81">
        <v>31517</v>
      </c>
      <c r="Q67" s="80" t="s">
        <v>336</v>
      </c>
      <c r="R67" s="81"/>
      <c r="S67" s="81">
        <v>42062</v>
      </c>
      <c r="T67" s="81"/>
      <c r="U67" s="81"/>
      <c r="V67" s="76"/>
      <c r="W67" s="76"/>
      <c r="X67" s="5"/>
      <c r="Y67" s="5"/>
      <c r="Z67" s="76" t="s">
        <v>1032</v>
      </c>
      <c r="AA67" s="82" t="s">
        <v>36</v>
      </c>
      <c r="AB67" s="83" t="s">
        <v>37</v>
      </c>
      <c r="AC67" s="84"/>
      <c r="AD67" s="76"/>
      <c r="AE67" s="76"/>
      <c r="AF67" s="76"/>
      <c r="AG67" s="84"/>
      <c r="AH67" s="76"/>
      <c r="AI67" s="76"/>
      <c r="AJ67" s="76"/>
      <c r="AK67" s="84"/>
      <c r="AL67" s="84"/>
      <c r="AM67" s="84"/>
      <c r="AN67" s="84"/>
      <c r="AO67" s="84"/>
    </row>
    <row r="68" spans="1:41" s="1" customFormat="1" ht="45" customHeight="1" x14ac:dyDescent="0.2">
      <c r="A68" s="75">
        <v>50</v>
      </c>
      <c r="B68" s="75"/>
      <c r="C68" s="76" t="s">
        <v>1028</v>
      </c>
      <c r="D68" s="76" t="s">
        <v>1042</v>
      </c>
      <c r="E68" s="75" t="s">
        <v>1043</v>
      </c>
      <c r="F68" s="75" t="e">
        <f>DATEDIF(P68,Q68,"y") + DATEDIF(T68,U68,"y") + DATEDIF(V68,W68,"y") + SUM(Z68) &amp; " años " &amp; DATEDIF(P68,Q68,"ym") + DATEDIF(T68,U68,"ym") + DATEDIF(V68,W68,"ym") + SUM(AA68) - SUM(AE68) &amp; " meses " &amp; DATEDIF(P68,Q68,"md") + DATEDIF(T68,U68,"md") + DATEDIF(V68,W68,"md") - SUM(AF68) &amp; " días"</f>
        <v>#VALUE!</v>
      </c>
      <c r="G68" s="77">
        <v>1</v>
      </c>
      <c r="H68" s="78" t="e">
        <f t="shared" si="1"/>
        <v>#VALUE!</v>
      </c>
      <c r="I68" s="78" t="e">
        <f t="shared" si="2"/>
        <v>#VALUE!</v>
      </c>
      <c r="J68" s="75"/>
      <c r="K68" s="79">
        <f t="shared" si="8"/>
        <v>35615.53</v>
      </c>
      <c r="L68" s="79">
        <f t="shared" si="3"/>
        <v>35615.53</v>
      </c>
      <c r="M68" s="76"/>
      <c r="N68" s="75" t="s">
        <v>42</v>
      </c>
      <c r="O68" s="80" t="s">
        <v>1044</v>
      </c>
      <c r="P68" s="81">
        <v>31503</v>
      </c>
      <c r="Q68" s="80" t="s">
        <v>336</v>
      </c>
      <c r="R68" s="81"/>
      <c r="S68" s="81">
        <v>43158</v>
      </c>
      <c r="T68" s="81"/>
      <c r="U68" s="81"/>
      <c r="V68" s="76"/>
      <c r="W68" s="76"/>
      <c r="X68" s="5"/>
      <c r="Y68" s="5"/>
      <c r="Z68" s="76" t="s">
        <v>1032</v>
      </c>
      <c r="AA68" s="82" t="s">
        <v>36</v>
      </c>
      <c r="AB68" s="83" t="s">
        <v>37</v>
      </c>
      <c r="AC68" s="84"/>
      <c r="AD68" s="76"/>
      <c r="AE68" s="76"/>
      <c r="AF68" s="76"/>
      <c r="AG68" s="84"/>
      <c r="AH68" s="76"/>
      <c r="AI68" s="76"/>
      <c r="AJ68" s="76"/>
      <c r="AK68" s="84"/>
      <c r="AL68" s="84"/>
      <c r="AM68" s="84"/>
      <c r="AN68" s="84"/>
      <c r="AO68" s="84"/>
    </row>
    <row r="69" spans="1:41" s="1" customFormat="1" ht="45" customHeight="1" x14ac:dyDescent="0.2">
      <c r="A69" s="75">
        <v>51</v>
      </c>
      <c r="B69" s="75"/>
      <c r="C69" s="76" t="s">
        <v>1028</v>
      </c>
      <c r="D69" s="76" t="s">
        <v>1045</v>
      </c>
      <c r="E69" s="75" t="s">
        <v>1046</v>
      </c>
      <c r="F69" s="75" t="e">
        <f>DATEDIF(P69,Q69,"y") + DATEDIF(T69,U69,"y") + DATEDIF(V69,W69,"y") + SUM(Z69) &amp; " años " &amp; DATEDIF(P69,Q69,"ym") + DATEDIF(T69,U69,"ym") + DATEDIF(V69,W69,"ym") + SUM(AA69) - SUM(AE69) &amp; " meses " &amp; DATEDIF(P69,Q69,"md") + DATEDIF(T69,U69,"md") + DATEDIF(V69,W69,"md") - SUM(AF69) &amp; " días"</f>
        <v>#VALUE!</v>
      </c>
      <c r="G69" s="77">
        <v>1</v>
      </c>
      <c r="H69" s="78" t="e">
        <f t="shared" si="1"/>
        <v>#VALUE!</v>
      </c>
      <c r="I69" s="78" t="e">
        <f t="shared" si="2"/>
        <v>#VALUE!</v>
      </c>
      <c r="J69" s="75"/>
      <c r="K69" s="79">
        <f t="shared" si="8"/>
        <v>35615.53</v>
      </c>
      <c r="L69" s="79">
        <f t="shared" si="3"/>
        <v>35615.53</v>
      </c>
      <c r="M69" s="76"/>
      <c r="N69" s="75" t="s">
        <v>42</v>
      </c>
      <c r="O69" s="80" t="s">
        <v>1047</v>
      </c>
      <c r="P69" s="81">
        <v>31717</v>
      </c>
      <c r="Q69" s="80" t="s">
        <v>336</v>
      </c>
      <c r="R69" s="81"/>
      <c r="S69" s="81">
        <v>42430</v>
      </c>
      <c r="T69" s="81"/>
      <c r="U69" s="81"/>
      <c r="V69" s="76"/>
      <c r="W69" s="76"/>
      <c r="X69" s="5"/>
      <c r="Y69" s="5"/>
      <c r="Z69" s="76" t="s">
        <v>1032</v>
      </c>
      <c r="AA69" s="82" t="s">
        <v>36</v>
      </c>
      <c r="AB69" s="83" t="s">
        <v>37</v>
      </c>
      <c r="AC69" s="84"/>
      <c r="AD69" s="76"/>
      <c r="AE69" s="76"/>
      <c r="AF69" s="76"/>
      <c r="AG69" s="84"/>
      <c r="AH69" s="76"/>
      <c r="AI69" s="76"/>
      <c r="AJ69" s="76"/>
      <c r="AK69" s="84"/>
      <c r="AL69" s="84"/>
      <c r="AM69" s="84"/>
      <c r="AN69" s="84"/>
      <c r="AO69" s="84"/>
    </row>
    <row r="70" spans="1:41" s="1" customFormat="1" ht="45" customHeight="1" x14ac:dyDescent="0.2">
      <c r="A70" s="75">
        <v>52</v>
      </c>
      <c r="B70" s="75"/>
      <c r="C70" s="76" t="s">
        <v>1028</v>
      </c>
      <c r="D70" s="76" t="s">
        <v>1048</v>
      </c>
      <c r="E70" s="75" t="s">
        <v>1049</v>
      </c>
      <c r="F70" s="75" t="e">
        <f t="shared" ref="F70:F76" si="9">DATEDIF(P70,Q70,"y") + DATEDIF(T70,U70,"y") + DATEDIF(V70,W70,"y") + SUM(AD70) &amp; " años " &amp; DATEDIF(P70,Q70,"ym") + DATEDIF(T70,U70,"ym") + DATEDIF(V70,W70,"ym") + SUM(AE70) - SUM(AI70) &amp; " meses " &amp; DATEDIF(P70,Q70,"md") + DATEDIF(T70,U70,"md") + DATEDIF(V70,W70,"md") - SUM(AJ70) &amp; " días"</f>
        <v>#VALUE!</v>
      </c>
      <c r="G70" s="77">
        <v>1</v>
      </c>
      <c r="H70" s="78" t="e">
        <f t="shared" si="1"/>
        <v>#VALUE!</v>
      </c>
      <c r="I70" s="78" t="e">
        <f t="shared" si="2"/>
        <v>#VALUE!</v>
      </c>
      <c r="J70" s="75"/>
      <c r="K70" s="79">
        <f t="shared" si="8"/>
        <v>35615.53</v>
      </c>
      <c r="L70" s="79">
        <f t="shared" si="3"/>
        <v>35615.53</v>
      </c>
      <c r="M70" s="76"/>
      <c r="N70" s="75" t="s">
        <v>42</v>
      </c>
      <c r="O70" s="80" t="s">
        <v>1050</v>
      </c>
      <c r="P70" s="81">
        <v>31594</v>
      </c>
      <c r="Q70" s="80" t="s">
        <v>336</v>
      </c>
      <c r="R70" s="81"/>
      <c r="S70" s="81">
        <v>43158</v>
      </c>
      <c r="T70" s="81"/>
      <c r="U70" s="81"/>
      <c r="V70" s="76"/>
      <c r="W70" s="76"/>
      <c r="X70" s="5"/>
      <c r="Y70" s="5"/>
      <c r="Z70" s="76" t="s">
        <v>1032</v>
      </c>
      <c r="AA70" s="82" t="s">
        <v>36</v>
      </c>
      <c r="AB70" s="83" t="s">
        <v>37</v>
      </c>
      <c r="AC70" s="84"/>
      <c r="AD70" s="76"/>
      <c r="AE70" s="76"/>
      <c r="AF70" s="76"/>
      <c r="AG70" s="84"/>
      <c r="AH70" s="76"/>
      <c r="AI70" s="76"/>
      <c r="AJ70" s="76"/>
      <c r="AK70" s="84"/>
      <c r="AL70" s="84"/>
      <c r="AM70" s="84"/>
      <c r="AN70" s="84"/>
      <c r="AO70" s="84"/>
    </row>
    <row r="71" spans="1:41" s="1" customFormat="1" ht="45" customHeight="1" x14ac:dyDescent="0.2">
      <c r="A71" s="75">
        <v>53</v>
      </c>
      <c r="B71" s="75"/>
      <c r="C71" s="76" t="s">
        <v>1028</v>
      </c>
      <c r="D71" s="76" t="s">
        <v>1051</v>
      </c>
      <c r="E71" s="75" t="s">
        <v>1052</v>
      </c>
      <c r="F71" s="75" t="e">
        <f t="shared" si="9"/>
        <v>#VALUE!</v>
      </c>
      <c r="G71" s="77">
        <v>1</v>
      </c>
      <c r="H71" s="78" t="e">
        <f t="shared" si="1"/>
        <v>#VALUE!</v>
      </c>
      <c r="I71" s="78" t="e">
        <f t="shared" si="2"/>
        <v>#VALUE!</v>
      </c>
      <c r="J71" s="75" t="s">
        <v>13</v>
      </c>
      <c r="K71" s="79">
        <f t="shared" si="8"/>
        <v>35615.53</v>
      </c>
      <c r="L71" s="79">
        <f t="shared" si="3"/>
        <v>35615.53</v>
      </c>
      <c r="M71" s="76"/>
      <c r="N71" s="75" t="s">
        <v>42</v>
      </c>
      <c r="O71" s="80" t="s">
        <v>1053</v>
      </c>
      <c r="P71" s="81">
        <v>31503</v>
      </c>
      <c r="Q71" s="80" t="s">
        <v>336</v>
      </c>
      <c r="R71" s="81"/>
      <c r="S71" s="81">
        <v>40238</v>
      </c>
      <c r="T71" s="81"/>
      <c r="U71" s="81"/>
      <c r="V71" s="76"/>
      <c r="W71" s="76"/>
      <c r="X71" s="5"/>
      <c r="Y71" s="5"/>
      <c r="Z71" s="76" t="s">
        <v>190</v>
      </c>
      <c r="AA71" s="82" t="s">
        <v>36</v>
      </c>
      <c r="AB71" s="83" t="s">
        <v>37</v>
      </c>
      <c r="AC71" s="84"/>
      <c r="AD71" s="76"/>
      <c r="AE71" s="76"/>
      <c r="AF71" s="76"/>
      <c r="AG71" s="84"/>
      <c r="AH71" s="76"/>
      <c r="AI71" s="76"/>
      <c r="AJ71" s="76"/>
      <c r="AK71" s="84"/>
      <c r="AL71" s="84"/>
      <c r="AM71" s="84"/>
      <c r="AN71" s="84"/>
      <c r="AO71" s="84"/>
    </row>
    <row r="72" spans="1:41" s="1" customFormat="1" ht="45" customHeight="1" x14ac:dyDescent="0.2">
      <c r="A72" s="75">
        <v>54</v>
      </c>
      <c r="B72" s="75"/>
      <c r="C72" s="76" t="s">
        <v>1028</v>
      </c>
      <c r="D72" s="76" t="s">
        <v>1054</v>
      </c>
      <c r="E72" s="75" t="s">
        <v>1055</v>
      </c>
      <c r="F72" s="75" t="e">
        <f t="shared" si="9"/>
        <v>#VALUE!</v>
      </c>
      <c r="G72" s="77">
        <v>1</v>
      </c>
      <c r="H72" s="78" t="e">
        <f t="shared" si="1"/>
        <v>#VALUE!</v>
      </c>
      <c r="I72" s="78" t="e">
        <f t="shared" si="2"/>
        <v>#VALUE!</v>
      </c>
      <c r="J72" s="75"/>
      <c r="K72" s="79">
        <f t="shared" si="8"/>
        <v>35615.53</v>
      </c>
      <c r="L72" s="79">
        <f t="shared" si="3"/>
        <v>35615.53</v>
      </c>
      <c r="M72" s="76"/>
      <c r="N72" s="75" t="s">
        <v>42</v>
      </c>
      <c r="O72" s="80" t="s">
        <v>1056</v>
      </c>
      <c r="P72" s="81">
        <v>31503</v>
      </c>
      <c r="Q72" s="80" t="s">
        <v>336</v>
      </c>
      <c r="R72" s="81"/>
      <c r="S72" s="81">
        <v>42430</v>
      </c>
      <c r="T72" s="81"/>
      <c r="U72" s="81"/>
      <c r="V72" s="76"/>
      <c r="W72" s="76"/>
      <c r="X72" s="5"/>
      <c r="Y72" s="5"/>
      <c r="Z72" s="76" t="s">
        <v>190</v>
      </c>
      <c r="AA72" s="82" t="s">
        <v>36</v>
      </c>
      <c r="AB72" s="83" t="s">
        <v>37</v>
      </c>
      <c r="AC72" s="84"/>
      <c r="AD72" s="76"/>
      <c r="AE72" s="76"/>
      <c r="AF72" s="76"/>
      <c r="AG72" s="84"/>
      <c r="AH72" s="76"/>
      <c r="AI72" s="76"/>
      <c r="AJ72" s="76"/>
      <c r="AK72" s="84"/>
      <c r="AL72" s="84"/>
      <c r="AM72" s="84"/>
      <c r="AN72" s="84"/>
      <c r="AO72" s="84"/>
    </row>
    <row r="73" spans="1:41" s="1" customFormat="1" ht="45" customHeight="1" x14ac:dyDescent="0.2">
      <c r="A73" s="75">
        <v>55</v>
      </c>
      <c r="B73" s="75"/>
      <c r="C73" s="76" t="s">
        <v>1028</v>
      </c>
      <c r="D73" s="76" t="s">
        <v>1057</v>
      </c>
      <c r="E73" s="75" t="s">
        <v>1058</v>
      </c>
      <c r="F73" s="75" t="e">
        <f t="shared" si="9"/>
        <v>#VALUE!</v>
      </c>
      <c r="G73" s="77">
        <v>0.97</v>
      </c>
      <c r="H73" s="78" t="e">
        <f t="shared" si="1"/>
        <v>#VALUE!</v>
      </c>
      <c r="I73" s="78" t="e">
        <f t="shared" si="2"/>
        <v>#VALUE!</v>
      </c>
      <c r="J73" s="75"/>
      <c r="K73" s="79">
        <f>34575.77+8000</f>
        <v>42575.77</v>
      </c>
      <c r="L73" s="79">
        <f t="shared" si="3"/>
        <v>41298.496899999998</v>
      </c>
      <c r="M73" s="76"/>
      <c r="N73" s="75" t="s">
        <v>42</v>
      </c>
      <c r="O73" s="80" t="s">
        <v>1059</v>
      </c>
      <c r="P73" s="81">
        <v>35339</v>
      </c>
      <c r="Q73" s="80" t="s">
        <v>1960</v>
      </c>
      <c r="R73" s="81"/>
      <c r="S73" s="81">
        <v>44619</v>
      </c>
      <c r="T73" s="81">
        <v>32994</v>
      </c>
      <c r="U73" s="81">
        <v>34982</v>
      </c>
      <c r="V73" s="76"/>
      <c r="W73" s="76"/>
      <c r="X73" s="5" t="s">
        <v>894</v>
      </c>
      <c r="Y73" s="5"/>
      <c r="Z73" s="76" t="s">
        <v>899</v>
      </c>
      <c r="AA73" s="82" t="s">
        <v>36</v>
      </c>
      <c r="AB73" s="83" t="s">
        <v>37</v>
      </c>
      <c r="AC73" s="84"/>
      <c r="AD73" s="76"/>
      <c r="AE73" s="76"/>
      <c r="AF73" s="76"/>
      <c r="AG73" s="84"/>
      <c r="AH73" s="76"/>
      <c r="AI73" s="76"/>
      <c r="AJ73" s="76"/>
      <c r="AK73" s="84"/>
      <c r="AL73" s="84"/>
      <c r="AM73" s="84"/>
      <c r="AN73" s="84"/>
      <c r="AO73" s="84"/>
    </row>
    <row r="74" spans="1:41" s="1" customFormat="1" ht="45" customHeight="1" x14ac:dyDescent="0.2">
      <c r="A74" s="75">
        <v>56</v>
      </c>
      <c r="B74" s="75"/>
      <c r="C74" s="76" t="s">
        <v>1028</v>
      </c>
      <c r="D74" s="76" t="s">
        <v>1060</v>
      </c>
      <c r="E74" s="75" t="s">
        <v>1061</v>
      </c>
      <c r="F74" s="75" t="e">
        <f t="shared" si="9"/>
        <v>#VALUE!</v>
      </c>
      <c r="G74" s="77">
        <v>0.65</v>
      </c>
      <c r="H74" s="78" t="e">
        <f t="shared" si="1"/>
        <v>#VALUE!</v>
      </c>
      <c r="I74" s="78" t="e">
        <f t="shared" si="2"/>
        <v>#VALUE!</v>
      </c>
      <c r="J74" s="75"/>
      <c r="K74" s="79">
        <f t="shared" ref="K74:K80" si="10">35615.53</f>
        <v>35615.53</v>
      </c>
      <c r="L74" s="79">
        <f t="shared" si="3"/>
        <v>23150.094499999999</v>
      </c>
      <c r="M74" s="76"/>
      <c r="N74" s="75" t="s">
        <v>42</v>
      </c>
      <c r="O74" s="80" t="s">
        <v>1062</v>
      </c>
      <c r="P74" s="81">
        <v>38125</v>
      </c>
      <c r="Q74" s="80" t="s">
        <v>336</v>
      </c>
      <c r="R74" s="81"/>
      <c r="S74" s="81">
        <v>43525</v>
      </c>
      <c r="T74" s="81">
        <v>36906</v>
      </c>
      <c r="U74" s="81">
        <v>37571</v>
      </c>
      <c r="V74" s="76"/>
      <c r="W74" s="76"/>
      <c r="X74" s="5"/>
      <c r="Y74" s="5" t="s">
        <v>134</v>
      </c>
      <c r="Z74" s="76" t="s">
        <v>134</v>
      </c>
      <c r="AA74" s="82" t="s">
        <v>36</v>
      </c>
      <c r="AB74" s="83" t="s">
        <v>37</v>
      </c>
      <c r="AC74" s="84"/>
      <c r="AD74" s="76">
        <v>1</v>
      </c>
      <c r="AE74" s="76">
        <v>1</v>
      </c>
      <c r="AF74" s="76"/>
      <c r="AG74" s="84"/>
      <c r="AH74" s="76"/>
      <c r="AI74" s="76">
        <v>12</v>
      </c>
      <c r="AJ74" s="76">
        <v>32</v>
      </c>
      <c r="AK74" s="84"/>
      <c r="AL74" s="84"/>
      <c r="AM74" s="84"/>
      <c r="AN74" s="84"/>
      <c r="AO74" s="84"/>
    </row>
    <row r="75" spans="1:41" s="1" customFormat="1" ht="45" customHeight="1" x14ac:dyDescent="0.2">
      <c r="A75" s="75">
        <v>57</v>
      </c>
      <c r="B75" s="75"/>
      <c r="C75" s="76" t="s">
        <v>1028</v>
      </c>
      <c r="D75" s="76" t="s">
        <v>1063</v>
      </c>
      <c r="E75" s="75" t="s">
        <v>1064</v>
      </c>
      <c r="F75" s="75" t="e">
        <f t="shared" si="9"/>
        <v>#VALUE!</v>
      </c>
      <c r="G75" s="77">
        <v>0.8</v>
      </c>
      <c r="H75" s="78" t="e">
        <f t="shared" si="1"/>
        <v>#VALUE!</v>
      </c>
      <c r="I75" s="78" t="e">
        <f t="shared" si="2"/>
        <v>#VALUE!</v>
      </c>
      <c r="J75" s="75"/>
      <c r="K75" s="79">
        <f t="shared" si="10"/>
        <v>35615.53</v>
      </c>
      <c r="L75" s="79">
        <f t="shared" si="3"/>
        <v>28492.423999999999</v>
      </c>
      <c r="M75" s="76"/>
      <c r="N75" s="75" t="s">
        <v>42</v>
      </c>
      <c r="O75" s="80" t="s">
        <v>1065</v>
      </c>
      <c r="P75" s="81">
        <v>35278</v>
      </c>
      <c r="Q75" s="80" t="s">
        <v>336</v>
      </c>
      <c r="R75" s="81"/>
      <c r="S75" s="81">
        <v>41699</v>
      </c>
      <c r="T75" s="81"/>
      <c r="U75" s="81"/>
      <c r="V75" s="76"/>
      <c r="W75" s="76"/>
      <c r="X75" s="5"/>
      <c r="Y75" s="5" t="s">
        <v>134</v>
      </c>
      <c r="Z75" s="76" t="s">
        <v>134</v>
      </c>
      <c r="AA75" s="82" t="s">
        <v>36</v>
      </c>
      <c r="AB75" s="83" t="s">
        <v>37</v>
      </c>
      <c r="AC75" s="84"/>
      <c r="AD75" s="76"/>
      <c r="AE75" s="76"/>
      <c r="AF75" s="76"/>
      <c r="AG75" s="84"/>
      <c r="AH75" s="76"/>
      <c r="AI75" s="76"/>
      <c r="AJ75" s="76"/>
      <c r="AK75" s="84"/>
      <c r="AL75" s="84"/>
      <c r="AM75" s="84"/>
      <c r="AN75" s="84"/>
      <c r="AO75" s="84"/>
    </row>
    <row r="76" spans="1:41" s="1" customFormat="1" ht="45" customHeight="1" x14ac:dyDescent="0.2">
      <c r="A76" s="75">
        <v>58</v>
      </c>
      <c r="B76" s="75"/>
      <c r="C76" s="76" t="s">
        <v>1028</v>
      </c>
      <c r="D76" s="76" t="s">
        <v>1066</v>
      </c>
      <c r="E76" s="75" t="s">
        <v>1067</v>
      </c>
      <c r="F76" s="75" t="e">
        <f t="shared" si="9"/>
        <v>#VALUE!</v>
      </c>
      <c r="G76" s="77">
        <v>1</v>
      </c>
      <c r="H76" s="78" t="e">
        <f t="shared" si="1"/>
        <v>#VALUE!</v>
      </c>
      <c r="I76" s="78" t="e">
        <f t="shared" si="2"/>
        <v>#VALUE!</v>
      </c>
      <c r="J76" s="75"/>
      <c r="K76" s="79">
        <f t="shared" si="10"/>
        <v>35615.53</v>
      </c>
      <c r="L76" s="79">
        <f t="shared" si="3"/>
        <v>35615.53</v>
      </c>
      <c r="M76" s="76"/>
      <c r="N76" s="75" t="s">
        <v>42</v>
      </c>
      <c r="O76" s="80" t="s">
        <v>1068</v>
      </c>
      <c r="P76" s="81">
        <v>32051</v>
      </c>
      <c r="Q76" s="80" t="s">
        <v>336</v>
      </c>
      <c r="R76" s="81"/>
      <c r="S76" s="81">
        <v>42430</v>
      </c>
      <c r="T76" s="81"/>
      <c r="U76" s="81"/>
      <c r="V76" s="76"/>
      <c r="W76" s="76"/>
      <c r="X76" s="5"/>
      <c r="Y76" s="5"/>
      <c r="Z76" s="76" t="s">
        <v>190</v>
      </c>
      <c r="AA76" s="82" t="s">
        <v>36</v>
      </c>
      <c r="AB76" s="83" t="s">
        <v>37</v>
      </c>
      <c r="AC76" s="84"/>
      <c r="AD76" s="76"/>
      <c r="AE76" s="76"/>
      <c r="AF76" s="76"/>
      <c r="AG76" s="84"/>
      <c r="AH76" s="76"/>
      <c r="AI76" s="76"/>
      <c r="AJ76" s="76"/>
      <c r="AK76" s="84"/>
      <c r="AL76" s="84"/>
      <c r="AM76" s="84"/>
      <c r="AN76" s="84"/>
      <c r="AO76" s="84"/>
    </row>
    <row r="77" spans="1:41" s="1" customFormat="1" ht="45" customHeight="1" x14ac:dyDescent="0.2">
      <c r="A77" s="75">
        <v>59</v>
      </c>
      <c r="B77" s="75"/>
      <c r="C77" s="76" t="s">
        <v>1028</v>
      </c>
      <c r="D77" s="76" t="s">
        <v>1069</v>
      </c>
      <c r="E77" s="75" t="s">
        <v>1070</v>
      </c>
      <c r="F77" s="75" t="e">
        <f>DATEDIF(P77,Q77,"y") + DATEDIF(T77,U77,"y") + DATEDIF(V77,W77,"y") + SUM(Z77) &amp; " años " &amp; DATEDIF(P77,Q77,"ym") + DATEDIF(T77,U77,"ym") + DATEDIF(V77,W77,"ym") + SUM(AA77) - SUM(AE77) &amp; " meses " &amp; DATEDIF(P77,Q77,"md") + DATEDIF(T77,U77,"md") + DATEDIF(V77,W77,"md") - SUM(AF77) &amp; " días"</f>
        <v>#VALUE!</v>
      </c>
      <c r="G77" s="77">
        <v>1</v>
      </c>
      <c r="H77" s="78" t="e">
        <f t="shared" si="1"/>
        <v>#VALUE!</v>
      </c>
      <c r="I77" s="78" t="e">
        <f t="shared" si="2"/>
        <v>#VALUE!</v>
      </c>
      <c r="J77" s="75"/>
      <c r="K77" s="79">
        <f t="shared" si="10"/>
        <v>35615.53</v>
      </c>
      <c r="L77" s="79">
        <f t="shared" si="3"/>
        <v>35615.53</v>
      </c>
      <c r="M77" s="76"/>
      <c r="N77" s="75" t="s">
        <v>42</v>
      </c>
      <c r="O77" s="80" t="s">
        <v>1071</v>
      </c>
      <c r="P77" s="81">
        <v>31845</v>
      </c>
      <c r="Q77" s="80" t="s">
        <v>336</v>
      </c>
      <c r="R77" s="81"/>
      <c r="S77" s="81">
        <v>42430</v>
      </c>
      <c r="T77" s="81"/>
      <c r="U77" s="81"/>
      <c r="V77" s="76"/>
      <c r="W77" s="76"/>
      <c r="X77" s="5"/>
      <c r="Y77" s="5"/>
      <c r="Z77" s="76" t="s">
        <v>190</v>
      </c>
      <c r="AA77" s="82" t="s">
        <v>36</v>
      </c>
      <c r="AB77" s="83" t="s">
        <v>37</v>
      </c>
      <c r="AC77" s="84"/>
      <c r="AD77" s="76"/>
      <c r="AE77" s="76"/>
      <c r="AF77" s="76"/>
      <c r="AG77" s="84"/>
      <c r="AH77" s="76"/>
      <c r="AI77" s="76"/>
      <c r="AJ77" s="76"/>
      <c r="AK77" s="84"/>
      <c r="AL77" s="84"/>
      <c r="AM77" s="84"/>
      <c r="AN77" s="84"/>
      <c r="AO77" s="84"/>
    </row>
    <row r="78" spans="1:41" s="1" customFormat="1" ht="45" customHeight="1" x14ac:dyDescent="0.2">
      <c r="A78" s="75">
        <v>60</v>
      </c>
      <c r="B78" s="75"/>
      <c r="C78" s="76" t="s">
        <v>1028</v>
      </c>
      <c r="D78" s="76" t="s">
        <v>1072</v>
      </c>
      <c r="E78" s="75" t="s">
        <v>1073</v>
      </c>
      <c r="F78" s="75" t="e">
        <f t="shared" ref="F78:F86" si="11">DATEDIF(P78,Q78,"y") + DATEDIF(T78,U78,"y") + DATEDIF(V78,W78,"y") + SUM(AD78) &amp; " años " &amp; DATEDIF(P78,Q78,"ym") + DATEDIF(T78,U78,"ym") + DATEDIF(V78,W78,"ym") + SUM(AE78) - SUM(AI78) &amp; " meses " &amp; DATEDIF(P78,Q78,"md") + DATEDIF(T78,U78,"md") + DATEDIF(V78,W78,"md") - SUM(AJ78) &amp; " días"</f>
        <v>#VALUE!</v>
      </c>
      <c r="G78" s="77">
        <v>1</v>
      </c>
      <c r="H78" s="78" t="e">
        <f t="shared" si="1"/>
        <v>#VALUE!</v>
      </c>
      <c r="I78" s="78" t="e">
        <f t="shared" si="2"/>
        <v>#VALUE!</v>
      </c>
      <c r="J78" s="75"/>
      <c r="K78" s="79">
        <f t="shared" si="10"/>
        <v>35615.53</v>
      </c>
      <c r="L78" s="79">
        <f t="shared" si="3"/>
        <v>35615.53</v>
      </c>
      <c r="M78" s="76"/>
      <c r="N78" s="75" t="s">
        <v>42</v>
      </c>
      <c r="O78" s="80" t="s">
        <v>1074</v>
      </c>
      <c r="P78" s="81">
        <v>31851</v>
      </c>
      <c r="Q78" s="80" t="s">
        <v>336</v>
      </c>
      <c r="R78" s="81"/>
      <c r="S78" s="81">
        <v>42430</v>
      </c>
      <c r="T78" s="81"/>
      <c r="U78" s="81"/>
      <c r="V78" s="76"/>
      <c r="W78" s="76"/>
      <c r="X78" s="5"/>
      <c r="Y78" s="5"/>
      <c r="Z78" s="76" t="s">
        <v>190</v>
      </c>
      <c r="AA78" s="82" t="s">
        <v>36</v>
      </c>
      <c r="AB78" s="83" t="s">
        <v>37</v>
      </c>
      <c r="AC78" s="84"/>
      <c r="AD78" s="76"/>
      <c r="AE78" s="76"/>
      <c r="AF78" s="76"/>
      <c r="AG78" s="84"/>
      <c r="AH78" s="76"/>
      <c r="AI78" s="76"/>
      <c r="AJ78" s="76"/>
      <c r="AK78" s="84"/>
      <c r="AL78" s="84"/>
      <c r="AM78" s="84"/>
      <c r="AN78" s="84"/>
      <c r="AO78" s="84"/>
    </row>
    <row r="79" spans="1:41" s="1" customFormat="1" ht="45" customHeight="1" x14ac:dyDescent="0.2">
      <c r="A79" s="75">
        <v>61</v>
      </c>
      <c r="B79" s="75"/>
      <c r="C79" s="76" t="s">
        <v>1028</v>
      </c>
      <c r="D79" s="76" t="s">
        <v>1075</v>
      </c>
      <c r="E79" s="75" t="s">
        <v>1076</v>
      </c>
      <c r="F79" s="75" t="e">
        <f t="shared" si="11"/>
        <v>#VALUE!</v>
      </c>
      <c r="G79" s="77">
        <v>1</v>
      </c>
      <c r="H79" s="78" t="e">
        <f t="shared" si="1"/>
        <v>#VALUE!</v>
      </c>
      <c r="I79" s="78" t="e">
        <f t="shared" si="2"/>
        <v>#VALUE!</v>
      </c>
      <c r="J79" s="75"/>
      <c r="K79" s="79">
        <f t="shared" si="10"/>
        <v>35615.53</v>
      </c>
      <c r="L79" s="79">
        <f t="shared" si="3"/>
        <v>35615.53</v>
      </c>
      <c r="M79" s="76"/>
      <c r="N79" s="75" t="s">
        <v>42</v>
      </c>
      <c r="O79" s="80" t="s">
        <v>1077</v>
      </c>
      <c r="P79" s="81">
        <v>34943</v>
      </c>
      <c r="Q79" s="80" t="s">
        <v>336</v>
      </c>
      <c r="R79" s="81"/>
      <c r="S79" s="81">
        <v>42430</v>
      </c>
      <c r="T79" s="81">
        <v>31444</v>
      </c>
      <c r="U79" s="81">
        <v>34366</v>
      </c>
      <c r="V79" s="76"/>
      <c r="W79" s="76"/>
      <c r="X79" s="5"/>
      <c r="Y79" s="5"/>
      <c r="Z79" s="76" t="s">
        <v>190</v>
      </c>
      <c r="AA79" s="82" t="s">
        <v>36</v>
      </c>
      <c r="AB79" s="83" t="s">
        <v>37</v>
      </c>
      <c r="AC79" s="84"/>
      <c r="AD79" s="76"/>
      <c r="AE79" s="76"/>
      <c r="AF79" s="76"/>
      <c r="AG79" s="84"/>
      <c r="AH79" s="76"/>
      <c r="AI79" s="76"/>
      <c r="AJ79" s="76"/>
      <c r="AK79" s="84"/>
      <c r="AL79" s="84"/>
      <c r="AM79" s="84"/>
      <c r="AN79" s="84"/>
      <c r="AO79" s="84"/>
    </row>
    <row r="80" spans="1:41" s="1" customFormat="1" ht="45" customHeight="1" x14ac:dyDescent="0.2">
      <c r="A80" s="75">
        <v>62</v>
      </c>
      <c r="B80" s="75"/>
      <c r="C80" s="76" t="s">
        <v>1028</v>
      </c>
      <c r="D80" s="76" t="s">
        <v>1078</v>
      </c>
      <c r="E80" s="75" t="s">
        <v>1079</v>
      </c>
      <c r="F80" s="75" t="e">
        <f t="shared" si="11"/>
        <v>#VALUE!</v>
      </c>
      <c r="G80" s="77">
        <v>0.67500000000000004</v>
      </c>
      <c r="H80" s="78" t="e">
        <f t="shared" si="1"/>
        <v>#VALUE!</v>
      </c>
      <c r="I80" s="78" t="e">
        <f t="shared" si="2"/>
        <v>#VALUE!</v>
      </c>
      <c r="J80" s="75"/>
      <c r="K80" s="79">
        <f t="shared" si="10"/>
        <v>35615.53</v>
      </c>
      <c r="L80" s="79">
        <f t="shared" si="3"/>
        <v>24040.482749999999</v>
      </c>
      <c r="M80" s="76"/>
      <c r="N80" s="75" t="s">
        <v>42</v>
      </c>
      <c r="O80" s="80" t="s">
        <v>1080</v>
      </c>
      <c r="P80" s="81">
        <v>37865</v>
      </c>
      <c r="Q80" s="80" t="s">
        <v>336</v>
      </c>
      <c r="R80" s="81"/>
      <c r="S80" s="81">
        <v>42430</v>
      </c>
      <c r="T80" s="81">
        <v>36800</v>
      </c>
      <c r="U80" s="81">
        <v>37864</v>
      </c>
      <c r="V80" s="76"/>
      <c r="W80" s="76"/>
      <c r="X80" s="5"/>
      <c r="Y80" s="5" t="s">
        <v>134</v>
      </c>
      <c r="Z80" s="76" t="s">
        <v>134</v>
      </c>
      <c r="AA80" s="82" t="s">
        <v>36</v>
      </c>
      <c r="AB80" s="83" t="s">
        <v>37</v>
      </c>
      <c r="AC80" s="84"/>
      <c r="AD80" s="76">
        <v>1</v>
      </c>
      <c r="AE80" s="76"/>
      <c r="AF80" s="76"/>
      <c r="AG80" s="84"/>
      <c r="AH80" s="76"/>
      <c r="AI80" s="76">
        <v>12</v>
      </c>
      <c r="AJ80" s="76"/>
      <c r="AK80" s="84"/>
      <c r="AL80" s="84"/>
      <c r="AM80" s="84"/>
      <c r="AN80" s="84"/>
      <c r="AO80" s="84"/>
    </row>
    <row r="81" spans="1:41" s="1" customFormat="1" ht="45" customHeight="1" x14ac:dyDescent="0.2">
      <c r="A81" s="75">
        <v>63</v>
      </c>
      <c r="B81" s="75"/>
      <c r="C81" s="76" t="s">
        <v>1028</v>
      </c>
      <c r="D81" s="76" t="s">
        <v>1081</v>
      </c>
      <c r="E81" s="75" t="s">
        <v>1082</v>
      </c>
      <c r="F81" s="75" t="e">
        <f t="shared" si="11"/>
        <v>#VALUE!</v>
      </c>
      <c r="G81" s="77">
        <v>0.88</v>
      </c>
      <c r="H81" s="78" t="e">
        <f t="shared" si="1"/>
        <v>#VALUE!</v>
      </c>
      <c r="I81" s="78" t="e">
        <f t="shared" si="2"/>
        <v>#VALUE!</v>
      </c>
      <c r="J81" s="75"/>
      <c r="K81" s="79">
        <v>70000</v>
      </c>
      <c r="L81" s="79">
        <f t="shared" si="3"/>
        <v>61600</v>
      </c>
      <c r="M81" s="76"/>
      <c r="N81" s="75" t="s">
        <v>42</v>
      </c>
      <c r="O81" s="80" t="s">
        <v>1083</v>
      </c>
      <c r="P81" s="81">
        <v>34121</v>
      </c>
      <c r="Q81" s="80" t="s">
        <v>336</v>
      </c>
      <c r="R81" s="81"/>
      <c r="S81" s="81">
        <v>43158</v>
      </c>
      <c r="T81" s="81"/>
      <c r="U81" s="81"/>
      <c r="V81" s="76"/>
      <c r="W81" s="76"/>
      <c r="X81" s="5"/>
      <c r="Y81" s="5"/>
      <c r="Z81" s="76" t="s">
        <v>134</v>
      </c>
      <c r="AA81" s="82" t="s">
        <v>36</v>
      </c>
      <c r="AB81" s="83" t="s">
        <v>37</v>
      </c>
      <c r="AC81" s="84"/>
      <c r="AD81" s="76"/>
      <c r="AE81" s="76"/>
      <c r="AF81" s="76"/>
      <c r="AG81" s="84"/>
      <c r="AH81" s="76"/>
      <c r="AI81" s="76"/>
      <c r="AJ81" s="76"/>
      <c r="AK81" s="84"/>
      <c r="AL81" s="84"/>
      <c r="AM81" s="84"/>
      <c r="AN81" s="84"/>
      <c r="AO81" s="84"/>
    </row>
    <row r="82" spans="1:41" s="1" customFormat="1" ht="45" customHeight="1" x14ac:dyDescent="0.2">
      <c r="A82" s="75">
        <v>64</v>
      </c>
      <c r="B82" s="75"/>
      <c r="C82" s="76" t="s">
        <v>1028</v>
      </c>
      <c r="D82" s="76" t="s">
        <v>1084</v>
      </c>
      <c r="E82" s="75" t="s">
        <v>1085</v>
      </c>
      <c r="F82" s="75" t="e">
        <f t="shared" ref="F82" si="12">DATEDIF(P82,Q82,"y") + DATEDIF(T82,U82,"y") + DATEDIF(V82,W82,"y") + SUM(AD82) &amp; " años " &amp; DATEDIF(P82,Q82,"ym") + DATEDIF(T82,U82,"ym") + DATEDIF(V82,W82,"ym") + SUM(AE82) - SUM(AI82) &amp; " meses " &amp; DATEDIF(P82,Q82,"md") + DATEDIF(T82,U82,"md") + DATEDIF(V82,W82,"md") - SUM(AJ82) &amp; " días"</f>
        <v>#VALUE!</v>
      </c>
      <c r="G82" s="77">
        <v>1</v>
      </c>
      <c r="H82" s="78" t="e">
        <f t="shared" si="1"/>
        <v>#VALUE!</v>
      </c>
      <c r="I82" s="78" t="e">
        <f t="shared" si="2"/>
        <v>#VALUE!</v>
      </c>
      <c r="J82" s="75" t="s">
        <v>13</v>
      </c>
      <c r="K82" s="79">
        <f t="shared" ref="K82" si="13">35615.53+12000</f>
        <v>47615.53</v>
      </c>
      <c r="L82" s="79">
        <f t="shared" si="3"/>
        <v>47615.53</v>
      </c>
      <c r="M82" s="76"/>
      <c r="N82" s="75" t="s">
        <v>42</v>
      </c>
      <c r="O82" s="80" t="s">
        <v>1086</v>
      </c>
      <c r="P82" s="81">
        <v>31503</v>
      </c>
      <c r="Q82" s="80" t="s">
        <v>1960</v>
      </c>
      <c r="R82" s="81"/>
      <c r="S82" s="81">
        <v>40969</v>
      </c>
      <c r="T82" s="81"/>
      <c r="U82" s="81"/>
      <c r="V82" s="76"/>
      <c r="W82" s="76"/>
      <c r="X82" s="5" t="s">
        <v>894</v>
      </c>
      <c r="Y82" s="5"/>
      <c r="Z82" s="76" t="s">
        <v>899</v>
      </c>
      <c r="AA82" s="82" t="s">
        <v>36</v>
      </c>
      <c r="AB82" s="83" t="s">
        <v>37</v>
      </c>
      <c r="AC82" s="84"/>
      <c r="AD82" s="76"/>
      <c r="AE82" s="76"/>
      <c r="AF82" s="76"/>
      <c r="AG82" s="84"/>
      <c r="AH82" s="76"/>
      <c r="AI82" s="76"/>
      <c r="AJ82" s="76"/>
      <c r="AK82" s="84"/>
      <c r="AL82" s="84"/>
      <c r="AM82" s="84"/>
      <c r="AN82" s="84"/>
      <c r="AO82" s="84"/>
    </row>
    <row r="83" spans="1:41" s="1" customFormat="1" ht="45" customHeight="1" x14ac:dyDescent="0.2">
      <c r="A83" s="75">
        <v>65</v>
      </c>
      <c r="B83" s="75"/>
      <c r="C83" s="76" t="s">
        <v>1028</v>
      </c>
      <c r="D83" s="76" t="s">
        <v>1087</v>
      </c>
      <c r="E83" s="75" t="s">
        <v>1088</v>
      </c>
      <c r="F83" s="75" t="e">
        <f t="shared" si="11"/>
        <v>#VALUE!</v>
      </c>
      <c r="G83" s="77">
        <v>1</v>
      </c>
      <c r="H83" s="78" t="e">
        <f t="shared" ref="H83:H146" si="14">DATEDIF(R83,Q83,"y") &amp; " años " &amp; DATEDIF(R83,Q83,"ym") &amp; " meses " &amp; DATEDIF(R83,Q83,"md") &amp; " días"</f>
        <v>#VALUE!</v>
      </c>
      <c r="I83" s="78" t="e">
        <f t="shared" ref="I83:I146" si="15">DATEDIF(S83,Q83,"y") &amp; " años " &amp; DATEDIF(S83,Q83,"ym") &amp; " meses " &amp; DATEDIF(S83,Q83,"md") &amp; " días"</f>
        <v>#VALUE!</v>
      </c>
      <c r="J83" s="75"/>
      <c r="K83" s="79">
        <f>35615.53</f>
        <v>35615.53</v>
      </c>
      <c r="L83" s="79">
        <f t="shared" ref="L83:L146" si="16">K83*G83</f>
        <v>35615.53</v>
      </c>
      <c r="M83" s="76"/>
      <c r="N83" s="75" t="s">
        <v>42</v>
      </c>
      <c r="O83" s="80" t="s">
        <v>1089</v>
      </c>
      <c r="P83" s="81">
        <v>31503</v>
      </c>
      <c r="Q83" s="80" t="s">
        <v>336</v>
      </c>
      <c r="R83" s="81"/>
      <c r="S83" s="81">
        <v>42430</v>
      </c>
      <c r="T83" s="81"/>
      <c r="U83" s="81"/>
      <c r="V83" s="76"/>
      <c r="W83" s="76"/>
      <c r="X83" s="5"/>
      <c r="Y83" s="5"/>
      <c r="Z83" s="76" t="s">
        <v>190</v>
      </c>
      <c r="AA83" s="82" t="s">
        <v>36</v>
      </c>
      <c r="AB83" s="83" t="s">
        <v>37</v>
      </c>
      <c r="AC83" s="84"/>
      <c r="AD83" s="76"/>
      <c r="AE83" s="76"/>
      <c r="AF83" s="76"/>
      <c r="AG83" s="84"/>
      <c r="AH83" s="76"/>
      <c r="AI83" s="76"/>
      <c r="AJ83" s="76"/>
      <c r="AK83" s="84"/>
      <c r="AL83" s="84"/>
      <c r="AM83" s="84"/>
      <c r="AN83" s="84"/>
      <c r="AO83" s="84"/>
    </row>
    <row r="84" spans="1:41" s="1" customFormat="1" ht="45" customHeight="1" x14ac:dyDescent="0.2">
      <c r="A84" s="75">
        <v>66</v>
      </c>
      <c r="B84" s="75"/>
      <c r="C84" s="76" t="s">
        <v>1028</v>
      </c>
      <c r="D84" s="76" t="s">
        <v>1090</v>
      </c>
      <c r="E84" s="75" t="s">
        <v>1091</v>
      </c>
      <c r="F84" s="75" t="e">
        <f t="shared" si="11"/>
        <v>#VALUE!</v>
      </c>
      <c r="G84" s="77">
        <v>0.75</v>
      </c>
      <c r="H84" s="78" t="e">
        <f t="shared" si="14"/>
        <v>#VALUE!</v>
      </c>
      <c r="I84" s="78" t="e">
        <f t="shared" si="15"/>
        <v>#VALUE!</v>
      </c>
      <c r="J84" s="75"/>
      <c r="K84" s="79">
        <f>35615.51</f>
        <v>35615.51</v>
      </c>
      <c r="L84" s="79">
        <f t="shared" si="16"/>
        <v>26711.6325</v>
      </c>
      <c r="M84" s="76"/>
      <c r="N84" s="75" t="s">
        <v>42</v>
      </c>
      <c r="O84" s="80" t="s">
        <v>1092</v>
      </c>
      <c r="P84" s="81">
        <v>35827</v>
      </c>
      <c r="Q84" s="80" t="s">
        <v>336</v>
      </c>
      <c r="R84" s="81"/>
      <c r="S84" s="81">
        <v>43158</v>
      </c>
      <c r="T84" s="81"/>
      <c r="U84" s="81"/>
      <c r="V84" s="76"/>
      <c r="W84" s="76"/>
      <c r="X84" s="5"/>
      <c r="Y84" s="5" t="s">
        <v>134</v>
      </c>
      <c r="Z84" s="76" t="s">
        <v>134</v>
      </c>
      <c r="AA84" s="82" t="s">
        <v>36</v>
      </c>
      <c r="AB84" s="83" t="s">
        <v>37</v>
      </c>
      <c r="AC84" s="84"/>
      <c r="AD84" s="76"/>
      <c r="AE84" s="76"/>
      <c r="AF84" s="76"/>
      <c r="AG84" s="84"/>
      <c r="AH84" s="76"/>
      <c r="AI84" s="76"/>
      <c r="AJ84" s="76"/>
      <c r="AK84" s="84"/>
      <c r="AL84" s="84"/>
      <c r="AM84" s="84"/>
      <c r="AN84" s="84"/>
      <c r="AO84" s="84"/>
    </row>
    <row r="85" spans="1:41" s="1" customFormat="1" ht="45" customHeight="1" x14ac:dyDescent="0.2">
      <c r="A85" s="75">
        <v>67</v>
      </c>
      <c r="B85" s="75"/>
      <c r="C85" s="76" t="s">
        <v>1028</v>
      </c>
      <c r="D85" s="76" t="s">
        <v>1093</v>
      </c>
      <c r="E85" s="75" t="s">
        <v>1094</v>
      </c>
      <c r="F85" s="75" t="e">
        <f t="shared" si="11"/>
        <v>#VALUE!</v>
      </c>
      <c r="G85" s="77">
        <v>0.91</v>
      </c>
      <c r="H85" s="78" t="e">
        <f t="shared" si="14"/>
        <v>#VALUE!</v>
      </c>
      <c r="I85" s="78" t="e">
        <f t="shared" si="15"/>
        <v>#VALUE!</v>
      </c>
      <c r="J85" s="75"/>
      <c r="K85" s="79">
        <v>35615.53</v>
      </c>
      <c r="L85" s="79">
        <f t="shared" si="16"/>
        <v>32410.132300000001</v>
      </c>
      <c r="M85" s="76"/>
      <c r="N85" s="75" t="s">
        <v>42</v>
      </c>
      <c r="O85" s="80" t="s">
        <v>1095</v>
      </c>
      <c r="P85" s="81">
        <v>33695</v>
      </c>
      <c r="Q85" s="80" t="s">
        <v>336</v>
      </c>
      <c r="R85" s="81"/>
      <c r="S85" s="81">
        <v>42430</v>
      </c>
      <c r="T85" s="81"/>
      <c r="U85" s="81"/>
      <c r="V85" s="76"/>
      <c r="W85" s="76"/>
      <c r="X85" s="5"/>
      <c r="Y85" s="5"/>
      <c r="Z85" s="76" t="s">
        <v>134</v>
      </c>
      <c r="AA85" s="82" t="s">
        <v>36</v>
      </c>
      <c r="AB85" s="83" t="s">
        <v>37</v>
      </c>
      <c r="AC85" s="84"/>
      <c r="AD85" s="76"/>
      <c r="AE85" s="76"/>
      <c r="AF85" s="76"/>
      <c r="AG85" s="84"/>
      <c r="AH85" s="76"/>
      <c r="AI85" s="76"/>
      <c r="AJ85" s="76"/>
      <c r="AK85" s="84"/>
      <c r="AL85" s="84"/>
      <c r="AM85" s="84"/>
      <c r="AN85" s="84"/>
      <c r="AO85" s="84"/>
    </row>
    <row r="86" spans="1:41" s="1" customFormat="1" ht="45" customHeight="1" x14ac:dyDescent="0.2">
      <c r="A86" s="75">
        <v>68</v>
      </c>
      <c r="B86" s="75"/>
      <c r="C86" s="76" t="s">
        <v>1028</v>
      </c>
      <c r="D86" s="76" t="s">
        <v>1096</v>
      </c>
      <c r="E86" s="75" t="s">
        <v>1097</v>
      </c>
      <c r="F86" s="75" t="e">
        <f t="shared" si="11"/>
        <v>#VALUE!</v>
      </c>
      <c r="G86" s="85">
        <v>0.625</v>
      </c>
      <c r="H86" s="78" t="e">
        <f t="shared" si="14"/>
        <v>#VALUE!</v>
      </c>
      <c r="I86" s="78" t="e">
        <f t="shared" si="15"/>
        <v>#VALUE!</v>
      </c>
      <c r="J86" s="75"/>
      <c r="K86" s="79">
        <f>35615.52</f>
        <v>35615.519999999997</v>
      </c>
      <c r="L86" s="79">
        <f t="shared" si="16"/>
        <v>22259.699999999997</v>
      </c>
      <c r="M86" s="76"/>
      <c r="N86" s="75" t="s">
        <v>42</v>
      </c>
      <c r="O86" s="80" t="s">
        <v>1098</v>
      </c>
      <c r="P86" s="81">
        <v>37712</v>
      </c>
      <c r="Q86" s="80" t="s">
        <v>336</v>
      </c>
      <c r="R86" s="81"/>
      <c r="S86" s="81">
        <v>42430</v>
      </c>
      <c r="T86" s="81"/>
      <c r="U86" s="81"/>
      <c r="V86" s="76"/>
      <c r="W86" s="76"/>
      <c r="X86" s="5"/>
      <c r="Y86" s="5" t="s">
        <v>134</v>
      </c>
      <c r="Z86" s="76" t="s">
        <v>134</v>
      </c>
      <c r="AA86" s="82" t="s">
        <v>36</v>
      </c>
      <c r="AB86" s="83" t="s">
        <v>37</v>
      </c>
      <c r="AC86" s="84"/>
      <c r="AD86" s="76"/>
      <c r="AE86" s="76"/>
      <c r="AF86" s="76"/>
      <c r="AG86" s="84"/>
      <c r="AH86" s="76"/>
      <c r="AI86" s="76"/>
      <c r="AJ86" s="76"/>
      <c r="AK86" s="84"/>
      <c r="AL86" s="84"/>
      <c r="AM86" s="84"/>
      <c r="AN86" s="84"/>
      <c r="AO86" s="84"/>
    </row>
    <row r="87" spans="1:41" s="1" customFormat="1" ht="45" customHeight="1" x14ac:dyDescent="0.2">
      <c r="A87" s="75">
        <v>69</v>
      </c>
      <c r="B87" s="75"/>
      <c r="C87" s="76" t="s">
        <v>1028</v>
      </c>
      <c r="D87" s="76" t="s">
        <v>1099</v>
      </c>
      <c r="E87" s="75" t="s">
        <v>1100</v>
      </c>
      <c r="F87" s="75" t="e">
        <f t="shared" ref="F87:F142" si="17">DATEDIF(P87,Q87,"y") + DATEDIF(T87,U87,"y") + DATEDIF(V87,W87,"y") + SUM(AD87) &amp; " años " &amp; DATEDIF(P87,Q87,"ym") + DATEDIF(T87,U87,"ym") + DATEDIF(V87,W87,"ym") + SUM(AE87) - SUM(AI87) &amp; " meses " &amp; DATEDIF(P87,Q87,"md") + DATEDIF(T87,U87,"md") + DATEDIF(V87,W87,"md") - SUM(AJ87) &amp; " días"</f>
        <v>#VALUE!</v>
      </c>
      <c r="G87" s="85">
        <v>0.67500000000000004</v>
      </c>
      <c r="H87" s="78" t="e">
        <f t="shared" si="14"/>
        <v>#VALUE!</v>
      </c>
      <c r="I87" s="78" t="e">
        <f t="shared" si="15"/>
        <v>#VALUE!</v>
      </c>
      <c r="J87" s="75"/>
      <c r="K87" s="79">
        <f>35615.52</f>
        <v>35615.519999999997</v>
      </c>
      <c r="L87" s="79">
        <f t="shared" si="16"/>
        <v>24040.475999999999</v>
      </c>
      <c r="M87" s="76"/>
      <c r="N87" s="75" t="s">
        <v>42</v>
      </c>
      <c r="O87" s="80" t="s">
        <v>1101</v>
      </c>
      <c r="P87" s="81">
        <v>36906</v>
      </c>
      <c r="Q87" s="80" t="s">
        <v>336</v>
      </c>
      <c r="R87" s="81"/>
      <c r="S87" s="81">
        <v>43525</v>
      </c>
      <c r="T87" s="81"/>
      <c r="U87" s="81"/>
      <c r="V87" s="76"/>
      <c r="W87" s="76"/>
      <c r="X87" s="5"/>
      <c r="Y87" s="5"/>
      <c r="Z87" s="76" t="s">
        <v>1032</v>
      </c>
      <c r="AA87" s="82" t="s">
        <v>36</v>
      </c>
      <c r="AB87" s="83" t="s">
        <v>37</v>
      </c>
      <c r="AC87" s="84"/>
      <c r="AD87" s="76"/>
      <c r="AE87" s="76"/>
      <c r="AF87" s="76"/>
      <c r="AG87" s="84"/>
      <c r="AH87" s="76"/>
      <c r="AI87" s="76"/>
      <c r="AJ87" s="76"/>
      <c r="AK87" s="84"/>
      <c r="AL87" s="84"/>
      <c r="AM87" s="84"/>
      <c r="AN87" s="84"/>
      <c r="AO87" s="84"/>
    </row>
    <row r="88" spans="1:41" s="1" customFormat="1" ht="45" customHeight="1" x14ac:dyDescent="0.2">
      <c r="A88" s="75">
        <v>70</v>
      </c>
      <c r="B88" s="75"/>
      <c r="C88" s="76" t="s">
        <v>1028</v>
      </c>
      <c r="D88" s="76" t="s">
        <v>1102</v>
      </c>
      <c r="E88" s="75" t="s">
        <v>1103</v>
      </c>
      <c r="F88" s="75" t="e">
        <f t="shared" si="17"/>
        <v>#VALUE!</v>
      </c>
      <c r="G88" s="85">
        <v>1</v>
      </c>
      <c r="H88" s="78" t="e">
        <f t="shared" si="14"/>
        <v>#VALUE!</v>
      </c>
      <c r="I88" s="78" t="e">
        <f t="shared" si="15"/>
        <v>#VALUE!</v>
      </c>
      <c r="J88" s="75"/>
      <c r="K88" s="79">
        <f>35615.52</f>
        <v>35615.519999999997</v>
      </c>
      <c r="L88" s="79">
        <f t="shared" si="16"/>
        <v>35615.519999999997</v>
      </c>
      <c r="M88" s="76" t="s">
        <v>1104</v>
      </c>
      <c r="N88" s="75" t="s">
        <v>33</v>
      </c>
      <c r="O88" s="80" t="s">
        <v>1105</v>
      </c>
      <c r="P88" s="81">
        <v>37210</v>
      </c>
      <c r="Q88" s="80" t="s">
        <v>1951</v>
      </c>
      <c r="R88" s="76" t="s">
        <v>1104</v>
      </c>
      <c r="S88" s="81">
        <v>43525</v>
      </c>
      <c r="T88" s="81"/>
      <c r="U88" s="81"/>
      <c r="V88" s="76"/>
      <c r="W88" s="76"/>
      <c r="X88" s="5" t="s">
        <v>1027</v>
      </c>
      <c r="Y88" s="5"/>
      <c r="Z88" s="86" t="s">
        <v>1032</v>
      </c>
      <c r="AA88" s="82" t="s">
        <v>36</v>
      </c>
      <c r="AB88" s="83" t="s">
        <v>37</v>
      </c>
      <c r="AC88" s="84"/>
      <c r="AD88" s="76"/>
      <c r="AE88" s="76"/>
      <c r="AF88" s="76"/>
      <c r="AG88" s="84"/>
      <c r="AH88" s="76"/>
      <c r="AI88" s="76"/>
      <c r="AJ88" s="76"/>
      <c r="AK88" s="84"/>
      <c r="AL88" s="84"/>
      <c r="AM88" s="84"/>
      <c r="AN88" s="84"/>
      <c r="AO88" s="84"/>
    </row>
    <row r="89" spans="1:41" s="1" customFormat="1" ht="45" customHeight="1" x14ac:dyDescent="0.2">
      <c r="A89" s="75">
        <v>71</v>
      </c>
      <c r="B89" s="75"/>
      <c r="C89" s="76" t="s">
        <v>87</v>
      </c>
      <c r="D89" s="76" t="s">
        <v>1106</v>
      </c>
      <c r="E89" s="75" t="s">
        <v>1107</v>
      </c>
      <c r="F89" s="75" t="e">
        <f t="shared" si="17"/>
        <v>#VALUE!</v>
      </c>
      <c r="G89" s="77">
        <v>0.97</v>
      </c>
      <c r="H89" s="78" t="e">
        <f t="shared" si="14"/>
        <v>#VALUE!</v>
      </c>
      <c r="I89" s="78" t="e">
        <f t="shared" si="15"/>
        <v>#VALUE!</v>
      </c>
      <c r="J89" s="75"/>
      <c r="K89" s="79">
        <f>34575.77</f>
        <v>34575.769999999997</v>
      </c>
      <c r="L89" s="79">
        <f t="shared" si="16"/>
        <v>33538.496899999998</v>
      </c>
      <c r="M89" s="76"/>
      <c r="N89" s="75" t="s">
        <v>42</v>
      </c>
      <c r="O89" s="80" t="s">
        <v>1108</v>
      </c>
      <c r="P89" s="81">
        <v>32933</v>
      </c>
      <c r="Q89" s="80" t="s">
        <v>336</v>
      </c>
      <c r="R89" s="81"/>
      <c r="S89" s="81">
        <v>43158</v>
      </c>
      <c r="T89" s="81"/>
      <c r="U89" s="81"/>
      <c r="V89" s="76"/>
      <c r="W89" s="76"/>
      <c r="X89" s="5"/>
      <c r="Y89" s="5"/>
      <c r="Z89" s="76" t="s">
        <v>190</v>
      </c>
      <c r="AA89" s="82" t="s">
        <v>36</v>
      </c>
      <c r="AB89" s="83" t="s">
        <v>37</v>
      </c>
      <c r="AC89" s="84"/>
      <c r="AD89" s="76"/>
      <c r="AE89" s="76"/>
      <c r="AF89" s="76"/>
      <c r="AG89" s="84"/>
      <c r="AH89" s="76"/>
      <c r="AI89" s="76"/>
      <c r="AJ89" s="76"/>
      <c r="AK89" s="84"/>
      <c r="AL89" s="84"/>
      <c r="AM89" s="84"/>
      <c r="AN89" s="84"/>
      <c r="AO89" s="84"/>
    </row>
    <row r="90" spans="1:41" s="1" customFormat="1" ht="45" customHeight="1" x14ac:dyDescent="0.2">
      <c r="A90" s="75">
        <v>72</v>
      </c>
      <c r="B90" s="75"/>
      <c r="C90" s="76" t="s">
        <v>87</v>
      </c>
      <c r="D90" s="76" t="s">
        <v>1109</v>
      </c>
      <c r="E90" s="75" t="s">
        <v>1110</v>
      </c>
      <c r="F90" s="75" t="e">
        <f t="shared" si="17"/>
        <v>#VALUE!</v>
      </c>
      <c r="G90" s="77">
        <v>0.94</v>
      </c>
      <c r="H90" s="78" t="e">
        <f t="shared" si="14"/>
        <v>#VALUE!</v>
      </c>
      <c r="I90" s="78" t="e">
        <f t="shared" si="15"/>
        <v>#VALUE!</v>
      </c>
      <c r="J90" s="75" t="s">
        <v>13</v>
      </c>
      <c r="K90" s="79">
        <f>34575.78</f>
        <v>34575.78</v>
      </c>
      <c r="L90" s="79">
        <f t="shared" si="16"/>
        <v>32501.233199999999</v>
      </c>
      <c r="M90" s="76"/>
      <c r="N90" s="75" t="s">
        <v>42</v>
      </c>
      <c r="O90" s="80" t="s">
        <v>1111</v>
      </c>
      <c r="P90" s="81">
        <v>33482</v>
      </c>
      <c r="Q90" s="80" t="s">
        <v>336</v>
      </c>
      <c r="R90" s="81"/>
      <c r="S90" s="81">
        <v>40969</v>
      </c>
      <c r="T90" s="81"/>
      <c r="U90" s="81"/>
      <c r="V90" s="76"/>
      <c r="W90" s="76"/>
      <c r="X90" s="5"/>
      <c r="Y90" s="5"/>
      <c r="Z90" s="76" t="s">
        <v>190</v>
      </c>
      <c r="AA90" s="82" t="s">
        <v>36</v>
      </c>
      <c r="AB90" s="83" t="s">
        <v>37</v>
      </c>
      <c r="AC90" s="84"/>
      <c r="AD90" s="76"/>
      <c r="AE90" s="76"/>
      <c r="AF90" s="76"/>
      <c r="AG90" s="84"/>
      <c r="AH90" s="76"/>
      <c r="AI90" s="76"/>
      <c r="AJ90" s="76"/>
      <c r="AK90" s="84"/>
      <c r="AL90" s="84"/>
      <c r="AM90" s="84"/>
      <c r="AN90" s="84"/>
      <c r="AO90" s="84"/>
    </row>
    <row r="91" spans="1:41" s="1" customFormat="1" ht="45" customHeight="1" x14ac:dyDescent="0.2">
      <c r="A91" s="75">
        <v>73</v>
      </c>
      <c r="B91" s="75"/>
      <c r="C91" s="76" t="s">
        <v>87</v>
      </c>
      <c r="D91" s="76" t="s">
        <v>1112</v>
      </c>
      <c r="E91" s="75" t="s">
        <v>1113</v>
      </c>
      <c r="F91" s="75" t="e">
        <f t="shared" si="17"/>
        <v>#VALUE!</v>
      </c>
      <c r="G91" s="77">
        <v>1</v>
      </c>
      <c r="H91" s="78" t="e">
        <f t="shared" si="14"/>
        <v>#VALUE!</v>
      </c>
      <c r="I91" s="78" t="e">
        <f t="shared" si="15"/>
        <v>#VALUE!</v>
      </c>
      <c r="J91" s="75" t="s">
        <v>13</v>
      </c>
      <c r="K91" s="79">
        <f>34575.78</f>
        <v>34575.78</v>
      </c>
      <c r="L91" s="79">
        <f t="shared" si="16"/>
        <v>34575.78</v>
      </c>
      <c r="M91" s="76"/>
      <c r="N91" s="75" t="s">
        <v>42</v>
      </c>
      <c r="O91" s="80" t="s">
        <v>1114</v>
      </c>
      <c r="P91" s="81">
        <v>32174</v>
      </c>
      <c r="Q91" s="80" t="s">
        <v>336</v>
      </c>
      <c r="R91" s="81"/>
      <c r="S91" s="81">
        <v>40603</v>
      </c>
      <c r="T91" s="81"/>
      <c r="U91" s="81"/>
      <c r="V91" s="76"/>
      <c r="W91" s="76"/>
      <c r="X91" s="5"/>
      <c r="Y91" s="5"/>
      <c r="Z91" s="76" t="s">
        <v>190</v>
      </c>
      <c r="AA91" s="82" t="s">
        <v>36</v>
      </c>
      <c r="AB91" s="83" t="s">
        <v>37</v>
      </c>
      <c r="AC91" s="84"/>
      <c r="AD91" s="76"/>
      <c r="AE91" s="76"/>
      <c r="AF91" s="76"/>
      <c r="AG91" s="84"/>
      <c r="AH91" s="76"/>
      <c r="AI91" s="76"/>
      <c r="AJ91" s="76"/>
      <c r="AK91" s="84"/>
      <c r="AL91" s="84"/>
      <c r="AM91" s="84"/>
      <c r="AN91" s="84"/>
      <c r="AO91" s="84"/>
    </row>
    <row r="92" spans="1:41" s="1" customFormat="1" ht="45" customHeight="1" x14ac:dyDescent="0.2">
      <c r="A92" s="75">
        <v>74</v>
      </c>
      <c r="B92" s="75"/>
      <c r="C92" s="76" t="s">
        <v>87</v>
      </c>
      <c r="D92" s="76" t="s">
        <v>1115</v>
      </c>
      <c r="E92" s="75" t="s">
        <v>1116</v>
      </c>
      <c r="F92" s="75" t="e">
        <f t="shared" si="17"/>
        <v>#VALUE!</v>
      </c>
      <c r="G92" s="77">
        <v>1</v>
      </c>
      <c r="H92" s="78" t="e">
        <f t="shared" si="14"/>
        <v>#VALUE!</v>
      </c>
      <c r="I92" s="78" t="e">
        <f t="shared" si="15"/>
        <v>#VALUE!</v>
      </c>
      <c r="J92" s="75"/>
      <c r="K92" s="79">
        <f>34575.78</f>
        <v>34575.78</v>
      </c>
      <c r="L92" s="79">
        <f t="shared" si="16"/>
        <v>34575.78</v>
      </c>
      <c r="M92" s="76"/>
      <c r="N92" s="75" t="s">
        <v>42</v>
      </c>
      <c r="O92" s="80" t="s">
        <v>1117</v>
      </c>
      <c r="P92" s="81">
        <v>32375</v>
      </c>
      <c r="Q92" s="80" t="s">
        <v>336</v>
      </c>
      <c r="R92" s="81"/>
      <c r="S92" s="81">
        <v>42062</v>
      </c>
      <c r="T92" s="81"/>
      <c r="U92" s="81"/>
      <c r="V92" s="76"/>
      <c r="W92" s="76"/>
      <c r="X92" s="5"/>
      <c r="Y92" s="5"/>
      <c r="Z92" s="76" t="s">
        <v>190</v>
      </c>
      <c r="AA92" s="82" t="s">
        <v>36</v>
      </c>
      <c r="AB92" s="83" t="s">
        <v>37</v>
      </c>
      <c r="AC92" s="84"/>
      <c r="AD92" s="76"/>
      <c r="AE92" s="76"/>
      <c r="AF92" s="76"/>
      <c r="AG92" s="84"/>
      <c r="AH92" s="76"/>
      <c r="AI92" s="76"/>
      <c r="AJ92" s="76"/>
      <c r="AK92" s="84"/>
      <c r="AL92" s="84"/>
      <c r="AM92" s="84"/>
      <c r="AN92" s="84"/>
      <c r="AO92" s="84"/>
    </row>
    <row r="93" spans="1:41" s="1" customFormat="1" ht="45" customHeight="1" x14ac:dyDescent="0.2">
      <c r="A93" s="75">
        <v>75</v>
      </c>
      <c r="B93" s="75"/>
      <c r="C93" s="76" t="s">
        <v>87</v>
      </c>
      <c r="D93" s="76" t="s">
        <v>1118</v>
      </c>
      <c r="E93" s="75" t="s">
        <v>1119</v>
      </c>
      <c r="F93" s="75" t="e">
        <f t="shared" si="17"/>
        <v>#VALUE!</v>
      </c>
      <c r="G93" s="77">
        <v>0.94</v>
      </c>
      <c r="H93" s="78" t="e">
        <f t="shared" si="14"/>
        <v>#VALUE!</v>
      </c>
      <c r="I93" s="78" t="e">
        <f t="shared" si="15"/>
        <v>#VALUE!</v>
      </c>
      <c r="J93" s="75"/>
      <c r="K93" s="79">
        <f>34575.78</f>
        <v>34575.78</v>
      </c>
      <c r="L93" s="79">
        <f t="shared" si="16"/>
        <v>32501.233199999999</v>
      </c>
      <c r="M93" s="76"/>
      <c r="N93" s="75" t="s">
        <v>42</v>
      </c>
      <c r="O93" s="80" t="s">
        <v>1120</v>
      </c>
      <c r="P93" s="81">
        <v>33359</v>
      </c>
      <c r="Q93" s="80" t="s">
        <v>336</v>
      </c>
      <c r="R93" s="81"/>
      <c r="S93" s="81">
        <v>42795</v>
      </c>
      <c r="T93" s="81"/>
      <c r="U93" s="81"/>
      <c r="V93" s="76"/>
      <c r="W93" s="76"/>
      <c r="X93" s="5"/>
      <c r="Y93" s="5"/>
      <c r="Z93" s="76" t="s">
        <v>190</v>
      </c>
      <c r="AA93" s="82" t="s">
        <v>36</v>
      </c>
      <c r="AB93" s="83" t="s">
        <v>37</v>
      </c>
      <c r="AC93" s="84"/>
      <c r="AD93" s="76"/>
      <c r="AE93" s="76"/>
      <c r="AF93" s="76"/>
      <c r="AG93" s="84"/>
      <c r="AH93" s="76"/>
      <c r="AI93" s="76"/>
      <c r="AJ93" s="76"/>
      <c r="AK93" s="84"/>
      <c r="AL93" s="84"/>
      <c r="AM93" s="84"/>
      <c r="AN93" s="84"/>
      <c r="AO93" s="84"/>
    </row>
    <row r="94" spans="1:41" s="1" customFormat="1" ht="45" customHeight="1" x14ac:dyDescent="0.2">
      <c r="A94" s="75">
        <v>76</v>
      </c>
      <c r="B94" s="75"/>
      <c r="C94" s="76" t="s">
        <v>87</v>
      </c>
      <c r="D94" s="76" t="s">
        <v>1121</v>
      </c>
      <c r="E94" s="75" t="s">
        <v>1122</v>
      </c>
      <c r="F94" s="75" t="e">
        <f t="shared" si="17"/>
        <v>#VALUE!</v>
      </c>
      <c r="G94" s="77">
        <v>0.75</v>
      </c>
      <c r="H94" s="78" t="e">
        <f t="shared" si="14"/>
        <v>#VALUE!</v>
      </c>
      <c r="I94" s="78" t="e">
        <f t="shared" si="15"/>
        <v>#VALUE!</v>
      </c>
      <c r="J94" s="75"/>
      <c r="K94" s="79">
        <f>32541.78</f>
        <v>32541.78</v>
      </c>
      <c r="L94" s="79">
        <f t="shared" si="16"/>
        <v>24406.334999999999</v>
      </c>
      <c r="M94" s="76"/>
      <c r="N94" s="75" t="s">
        <v>42</v>
      </c>
      <c r="O94" s="80" t="s">
        <v>1123</v>
      </c>
      <c r="P94" s="81">
        <v>35869</v>
      </c>
      <c r="Q94" s="80" t="s">
        <v>336</v>
      </c>
      <c r="R94" s="81"/>
      <c r="S94" s="81">
        <v>44984</v>
      </c>
      <c r="T94" s="81"/>
      <c r="U94" s="81"/>
      <c r="V94" s="76"/>
      <c r="W94" s="76"/>
      <c r="X94" s="5"/>
      <c r="Y94" s="5"/>
      <c r="Z94" s="76" t="s">
        <v>268</v>
      </c>
      <c r="AA94" s="82" t="s">
        <v>36</v>
      </c>
      <c r="AB94" s="83" t="s">
        <v>37</v>
      </c>
      <c r="AC94" s="84"/>
      <c r="AD94" s="76"/>
      <c r="AE94" s="76"/>
      <c r="AF94" s="76"/>
      <c r="AG94" s="84"/>
      <c r="AH94" s="76"/>
      <c r="AI94" s="76"/>
      <c r="AJ94" s="76"/>
      <c r="AK94" s="84"/>
      <c r="AL94" s="84"/>
      <c r="AM94" s="84"/>
      <c r="AN94" s="84"/>
      <c r="AO94" s="84"/>
    </row>
    <row r="95" spans="1:41" s="1" customFormat="1" ht="45" customHeight="1" x14ac:dyDescent="0.2">
      <c r="A95" s="75">
        <v>77</v>
      </c>
      <c r="B95" s="75"/>
      <c r="C95" s="76" t="s">
        <v>87</v>
      </c>
      <c r="D95" s="76" t="s">
        <v>1124</v>
      </c>
      <c r="E95" s="75" t="s">
        <v>1125</v>
      </c>
      <c r="F95" s="75" t="e">
        <f t="shared" si="17"/>
        <v>#VALUE!</v>
      </c>
      <c r="G95" s="85">
        <v>0.82499999999999996</v>
      </c>
      <c r="H95" s="78" t="e">
        <f t="shared" si="14"/>
        <v>#VALUE!</v>
      </c>
      <c r="I95" s="78" t="e">
        <f t="shared" si="15"/>
        <v>#VALUE!</v>
      </c>
      <c r="J95" s="75"/>
      <c r="K95" s="79">
        <f>34575.77</f>
        <v>34575.769999999997</v>
      </c>
      <c r="L95" s="79">
        <f t="shared" si="16"/>
        <v>28525.010249999996</v>
      </c>
      <c r="M95" s="76"/>
      <c r="N95" s="75" t="s">
        <v>42</v>
      </c>
      <c r="O95" s="80" t="s">
        <v>1126</v>
      </c>
      <c r="P95" s="81">
        <v>38847</v>
      </c>
      <c r="Q95" s="80" t="s">
        <v>1960</v>
      </c>
      <c r="R95" s="81"/>
      <c r="S95" s="81">
        <v>42430</v>
      </c>
      <c r="T95" s="81">
        <v>34407</v>
      </c>
      <c r="U95" s="81">
        <v>38548</v>
      </c>
      <c r="V95" s="76"/>
      <c r="W95" s="76"/>
      <c r="X95" s="5" t="s">
        <v>894</v>
      </c>
      <c r="Y95" s="5"/>
      <c r="Z95" s="76" t="s">
        <v>899</v>
      </c>
      <c r="AA95" s="82" t="s">
        <v>36</v>
      </c>
      <c r="AB95" s="83" t="s">
        <v>37</v>
      </c>
      <c r="AC95" s="84"/>
      <c r="AD95" s="76">
        <v>1</v>
      </c>
      <c r="AE95" s="76"/>
      <c r="AF95" s="76"/>
      <c r="AG95" s="84"/>
      <c r="AH95" s="76"/>
      <c r="AI95" s="76">
        <v>12</v>
      </c>
      <c r="AJ95" s="76"/>
      <c r="AK95" s="84"/>
      <c r="AL95" s="84"/>
      <c r="AM95" s="84"/>
      <c r="AN95" s="84"/>
      <c r="AO95" s="84"/>
    </row>
    <row r="96" spans="1:41" s="1" customFormat="1" ht="45" customHeight="1" x14ac:dyDescent="0.2">
      <c r="A96" s="75">
        <v>78</v>
      </c>
      <c r="B96" s="75"/>
      <c r="C96" s="76" t="s">
        <v>87</v>
      </c>
      <c r="D96" s="76" t="s">
        <v>1127</v>
      </c>
      <c r="E96" s="75" t="s">
        <v>1128</v>
      </c>
      <c r="F96" s="75" t="e">
        <f t="shared" si="17"/>
        <v>#VALUE!</v>
      </c>
      <c r="G96" s="77">
        <v>0.94</v>
      </c>
      <c r="H96" s="78" t="e">
        <f t="shared" si="14"/>
        <v>#VALUE!</v>
      </c>
      <c r="I96" s="78" t="e">
        <f t="shared" si="15"/>
        <v>#VALUE!</v>
      </c>
      <c r="J96" s="75"/>
      <c r="K96" s="79">
        <f>32541.78</f>
        <v>32541.78</v>
      </c>
      <c r="L96" s="79">
        <f t="shared" si="16"/>
        <v>30589.273199999996</v>
      </c>
      <c r="M96" s="76"/>
      <c r="N96" s="75" t="s">
        <v>42</v>
      </c>
      <c r="O96" s="80" t="s">
        <v>1129</v>
      </c>
      <c r="P96" s="81">
        <v>34274</v>
      </c>
      <c r="Q96" s="80" t="s">
        <v>1960</v>
      </c>
      <c r="R96" s="81"/>
      <c r="S96" s="81">
        <v>43888</v>
      </c>
      <c r="T96" s="81">
        <v>31894</v>
      </c>
      <c r="U96" s="81">
        <v>32873</v>
      </c>
      <c r="V96" s="76"/>
      <c r="W96" s="76"/>
      <c r="X96" s="5" t="s">
        <v>894</v>
      </c>
      <c r="Y96" s="5"/>
      <c r="Z96" s="76" t="s">
        <v>899</v>
      </c>
      <c r="AA96" s="82" t="s">
        <v>36</v>
      </c>
      <c r="AB96" s="83" t="s">
        <v>37</v>
      </c>
      <c r="AC96" s="84"/>
      <c r="AD96" s="76">
        <v>1</v>
      </c>
      <c r="AE96" s="76"/>
      <c r="AF96" s="76"/>
      <c r="AG96" s="84"/>
      <c r="AH96" s="76"/>
      <c r="AI96" s="76">
        <v>12</v>
      </c>
      <c r="AJ96" s="76"/>
      <c r="AK96" s="84"/>
      <c r="AL96" s="84"/>
      <c r="AM96" s="84"/>
      <c r="AN96" s="84"/>
      <c r="AO96" s="84"/>
    </row>
    <row r="97" spans="1:41" s="1" customFormat="1" ht="45" customHeight="1" x14ac:dyDescent="0.2">
      <c r="A97" s="75">
        <v>79</v>
      </c>
      <c r="B97" s="75"/>
      <c r="C97" s="76" t="s">
        <v>87</v>
      </c>
      <c r="D97" s="76" t="s">
        <v>1130</v>
      </c>
      <c r="E97" s="75" t="s">
        <v>1131</v>
      </c>
      <c r="F97" s="75" t="e">
        <f t="shared" si="17"/>
        <v>#VALUE!</v>
      </c>
      <c r="G97" s="85">
        <v>0.67500000000000004</v>
      </c>
      <c r="H97" s="78" t="e">
        <f t="shared" si="14"/>
        <v>#VALUE!</v>
      </c>
      <c r="I97" s="78" t="e">
        <f t="shared" si="15"/>
        <v>#VALUE!</v>
      </c>
      <c r="J97" s="75"/>
      <c r="K97" s="79">
        <f>34575.78</f>
        <v>34575.78</v>
      </c>
      <c r="L97" s="79">
        <f t="shared" si="16"/>
        <v>23338.6515</v>
      </c>
      <c r="M97" s="76"/>
      <c r="N97" s="75" t="s">
        <v>42</v>
      </c>
      <c r="O97" s="80" t="s">
        <v>1132</v>
      </c>
      <c r="P97" s="81">
        <v>36936</v>
      </c>
      <c r="Q97" s="80" t="s">
        <v>336</v>
      </c>
      <c r="R97" s="81"/>
      <c r="S97" s="81">
        <v>43525</v>
      </c>
      <c r="T97" s="81"/>
      <c r="U97" s="81"/>
      <c r="V97" s="76"/>
      <c r="W97" s="76"/>
      <c r="X97" s="5"/>
      <c r="Y97" s="5" t="s">
        <v>134</v>
      </c>
      <c r="Z97" s="76" t="s">
        <v>134</v>
      </c>
      <c r="AA97" s="82" t="s">
        <v>36</v>
      </c>
      <c r="AB97" s="83" t="s">
        <v>37</v>
      </c>
      <c r="AC97" s="84"/>
      <c r="AD97" s="76"/>
      <c r="AE97" s="76"/>
      <c r="AF97" s="76"/>
      <c r="AG97" s="84"/>
      <c r="AH97" s="76"/>
      <c r="AI97" s="76"/>
      <c r="AJ97" s="76"/>
      <c r="AK97" s="84"/>
      <c r="AL97" s="84"/>
      <c r="AM97" s="84"/>
      <c r="AN97" s="84"/>
      <c r="AO97" s="84"/>
    </row>
    <row r="98" spans="1:41" s="1" customFormat="1" ht="45" customHeight="1" x14ac:dyDescent="0.2">
      <c r="A98" s="75">
        <v>80</v>
      </c>
      <c r="B98" s="75"/>
      <c r="C98" s="76" t="s">
        <v>87</v>
      </c>
      <c r="D98" s="76" t="s">
        <v>1133</v>
      </c>
      <c r="E98" s="75" t="s">
        <v>1134</v>
      </c>
      <c r="F98" s="75" t="e">
        <f t="shared" si="17"/>
        <v>#VALUE!</v>
      </c>
      <c r="G98" s="77">
        <v>0.85</v>
      </c>
      <c r="H98" s="78" t="e">
        <f t="shared" si="14"/>
        <v>#VALUE!</v>
      </c>
      <c r="I98" s="78" t="e">
        <f t="shared" si="15"/>
        <v>#VALUE!</v>
      </c>
      <c r="J98" s="75"/>
      <c r="K98" s="79">
        <f>34575.78</f>
        <v>34575.78</v>
      </c>
      <c r="L98" s="79">
        <f t="shared" si="16"/>
        <v>29389.412999999997</v>
      </c>
      <c r="M98" s="76"/>
      <c r="N98" s="75" t="s">
        <v>42</v>
      </c>
      <c r="O98" s="80" t="s">
        <v>1135</v>
      </c>
      <c r="P98" s="81">
        <v>34251</v>
      </c>
      <c r="Q98" s="80" t="s">
        <v>336</v>
      </c>
      <c r="R98" s="81"/>
      <c r="S98" s="81">
        <v>42062</v>
      </c>
      <c r="T98" s="81"/>
      <c r="U98" s="81"/>
      <c r="V98" s="76"/>
      <c r="W98" s="76"/>
      <c r="X98" s="5"/>
      <c r="Y98" s="5" t="s">
        <v>134</v>
      </c>
      <c r="Z98" s="76" t="s">
        <v>134</v>
      </c>
      <c r="AA98" s="82" t="s">
        <v>36</v>
      </c>
      <c r="AB98" s="83" t="s">
        <v>37</v>
      </c>
      <c r="AC98" s="84"/>
      <c r="AD98" s="76"/>
      <c r="AE98" s="76"/>
      <c r="AF98" s="76"/>
      <c r="AG98" s="84"/>
      <c r="AH98" s="76"/>
      <c r="AI98" s="76"/>
      <c r="AJ98" s="76"/>
      <c r="AK98" s="84"/>
      <c r="AL98" s="84"/>
      <c r="AM98" s="84"/>
      <c r="AN98" s="84"/>
      <c r="AO98" s="84"/>
    </row>
    <row r="99" spans="1:41" s="1" customFormat="1" ht="45" customHeight="1" x14ac:dyDescent="0.2">
      <c r="A99" s="75">
        <v>81</v>
      </c>
      <c r="B99" s="75"/>
      <c r="C99" s="76" t="s">
        <v>87</v>
      </c>
      <c r="D99" s="76" t="s">
        <v>1136</v>
      </c>
      <c r="E99" s="75" t="s">
        <v>1137</v>
      </c>
      <c r="F99" s="75" t="e">
        <f t="shared" si="17"/>
        <v>#VALUE!</v>
      </c>
      <c r="G99" s="77">
        <v>0.7</v>
      </c>
      <c r="H99" s="78" t="e">
        <f t="shared" si="14"/>
        <v>#VALUE!</v>
      </c>
      <c r="I99" s="78" t="e">
        <f t="shared" si="15"/>
        <v>#VALUE!</v>
      </c>
      <c r="J99" s="75"/>
      <c r="K99" s="79">
        <f>32541.77</f>
        <v>32541.77</v>
      </c>
      <c r="L99" s="79">
        <f t="shared" si="16"/>
        <v>22779.238999999998</v>
      </c>
      <c r="M99" s="76"/>
      <c r="N99" s="75" t="s">
        <v>42</v>
      </c>
      <c r="O99" s="80" t="s">
        <v>1138</v>
      </c>
      <c r="P99" s="81">
        <v>36536</v>
      </c>
      <c r="Q99" s="80" t="s">
        <v>336</v>
      </c>
      <c r="R99" s="81"/>
      <c r="S99" s="81">
        <v>44984</v>
      </c>
      <c r="T99" s="81"/>
      <c r="U99" s="81"/>
      <c r="V99" s="76"/>
      <c r="W99" s="76"/>
      <c r="X99" s="5"/>
      <c r="Y99" s="5" t="s">
        <v>134</v>
      </c>
      <c r="Z99" s="76" t="s">
        <v>134</v>
      </c>
      <c r="AA99" s="82" t="s">
        <v>36</v>
      </c>
      <c r="AB99" s="83" t="s">
        <v>37</v>
      </c>
      <c r="AC99" s="84"/>
      <c r="AD99" s="76"/>
      <c r="AE99" s="76"/>
      <c r="AF99" s="76"/>
      <c r="AG99" s="84"/>
      <c r="AH99" s="76"/>
      <c r="AI99" s="76"/>
      <c r="AJ99" s="76"/>
      <c r="AK99" s="84"/>
      <c r="AL99" s="84"/>
      <c r="AM99" s="84"/>
      <c r="AN99" s="84"/>
      <c r="AO99" s="84"/>
    </row>
    <row r="100" spans="1:41" s="1" customFormat="1" ht="45" customHeight="1" x14ac:dyDescent="0.2">
      <c r="A100" s="75">
        <v>82</v>
      </c>
      <c r="B100" s="75"/>
      <c r="C100" s="76" t="s">
        <v>87</v>
      </c>
      <c r="D100" s="76" t="s">
        <v>1139</v>
      </c>
      <c r="E100" s="75" t="s">
        <v>1140</v>
      </c>
      <c r="F100" s="75" t="e">
        <f t="shared" si="17"/>
        <v>#VALUE!</v>
      </c>
      <c r="G100" s="77">
        <v>0.75</v>
      </c>
      <c r="H100" s="78" t="e">
        <f t="shared" si="14"/>
        <v>#VALUE!</v>
      </c>
      <c r="I100" s="78" t="e">
        <f t="shared" si="15"/>
        <v>#VALUE!</v>
      </c>
      <c r="J100" s="75"/>
      <c r="K100" s="79">
        <v>34575.769999999997</v>
      </c>
      <c r="L100" s="79">
        <f t="shared" si="16"/>
        <v>25931.827499999999</v>
      </c>
      <c r="M100" s="76"/>
      <c r="N100" s="75" t="s">
        <v>42</v>
      </c>
      <c r="O100" s="80" t="s">
        <v>1141</v>
      </c>
      <c r="P100" s="81">
        <v>35704</v>
      </c>
      <c r="Q100" s="80" t="s">
        <v>336</v>
      </c>
      <c r="R100" s="81"/>
      <c r="S100" s="81">
        <v>42430</v>
      </c>
      <c r="T100" s="81"/>
      <c r="U100" s="81"/>
      <c r="V100" s="76"/>
      <c r="W100" s="76"/>
      <c r="X100" s="5"/>
      <c r="Y100" s="5" t="s">
        <v>134</v>
      </c>
      <c r="Z100" s="76" t="s">
        <v>134</v>
      </c>
      <c r="AA100" s="82" t="s">
        <v>36</v>
      </c>
      <c r="AB100" s="83" t="s">
        <v>37</v>
      </c>
      <c r="AC100" s="84"/>
      <c r="AD100" s="76"/>
      <c r="AE100" s="76"/>
      <c r="AF100" s="76"/>
      <c r="AG100" s="84"/>
      <c r="AH100" s="76"/>
      <c r="AI100" s="76"/>
      <c r="AJ100" s="76"/>
      <c r="AK100" s="84"/>
      <c r="AL100" s="84"/>
      <c r="AM100" s="84"/>
      <c r="AN100" s="84"/>
      <c r="AO100" s="84"/>
    </row>
    <row r="101" spans="1:41" s="1" customFormat="1" ht="45" customHeight="1" x14ac:dyDescent="0.2">
      <c r="A101" s="75">
        <v>83</v>
      </c>
      <c r="B101" s="75"/>
      <c r="C101" s="76" t="s">
        <v>87</v>
      </c>
      <c r="D101" s="76" t="s">
        <v>1142</v>
      </c>
      <c r="E101" s="75" t="s">
        <v>1143</v>
      </c>
      <c r="F101" s="75" t="e">
        <f t="shared" si="17"/>
        <v>#VALUE!</v>
      </c>
      <c r="G101" s="77">
        <v>0.75</v>
      </c>
      <c r="H101" s="78" t="e">
        <f t="shared" si="14"/>
        <v>#VALUE!</v>
      </c>
      <c r="I101" s="78" t="e">
        <f t="shared" si="15"/>
        <v>#VALUE!</v>
      </c>
      <c r="J101" s="75"/>
      <c r="K101" s="79">
        <f>32541.77+8000</f>
        <v>40541.770000000004</v>
      </c>
      <c r="L101" s="79">
        <f t="shared" si="16"/>
        <v>30406.327500000003</v>
      </c>
      <c r="M101" s="76"/>
      <c r="N101" s="75" t="s">
        <v>42</v>
      </c>
      <c r="O101" s="80" t="s">
        <v>1144</v>
      </c>
      <c r="P101" s="81">
        <v>37377</v>
      </c>
      <c r="Q101" s="80" t="s">
        <v>336</v>
      </c>
      <c r="R101" s="81"/>
      <c r="S101" s="81">
        <v>43888</v>
      </c>
      <c r="T101" s="81">
        <v>34121</v>
      </c>
      <c r="U101" s="81">
        <v>35582</v>
      </c>
      <c r="V101" s="76"/>
      <c r="W101" s="76"/>
      <c r="X101" s="5"/>
      <c r="Y101" s="5"/>
      <c r="Z101" s="76" t="s">
        <v>190</v>
      </c>
      <c r="AA101" s="82" t="s">
        <v>36</v>
      </c>
      <c r="AB101" s="83" t="s">
        <v>37</v>
      </c>
      <c r="AC101" s="84"/>
      <c r="AD101" s="76"/>
      <c r="AE101" s="76"/>
      <c r="AF101" s="76"/>
      <c r="AG101" s="84"/>
      <c r="AH101" s="76"/>
      <c r="AI101" s="76"/>
      <c r="AJ101" s="76"/>
      <c r="AK101" s="84"/>
      <c r="AL101" s="84"/>
      <c r="AM101" s="84"/>
      <c r="AN101" s="84"/>
      <c r="AO101" s="84"/>
    </row>
    <row r="102" spans="1:41" s="1" customFormat="1" ht="45" customHeight="1" x14ac:dyDescent="0.2">
      <c r="A102" s="75">
        <v>84</v>
      </c>
      <c r="B102" s="75"/>
      <c r="C102" s="76" t="s">
        <v>87</v>
      </c>
      <c r="D102" s="76" t="s">
        <v>1145</v>
      </c>
      <c r="E102" s="75" t="s">
        <v>1146</v>
      </c>
      <c r="F102" s="75" t="e">
        <f t="shared" si="17"/>
        <v>#VALUE!</v>
      </c>
      <c r="G102" s="77">
        <v>0.75</v>
      </c>
      <c r="H102" s="78" t="e">
        <f t="shared" si="14"/>
        <v>#VALUE!</v>
      </c>
      <c r="I102" s="78" t="e">
        <f t="shared" si="15"/>
        <v>#VALUE!</v>
      </c>
      <c r="J102" s="75"/>
      <c r="K102" s="79">
        <f>32541.77+8000</f>
        <v>40541.770000000004</v>
      </c>
      <c r="L102" s="79">
        <f t="shared" si="16"/>
        <v>30406.327500000003</v>
      </c>
      <c r="M102" s="76"/>
      <c r="N102" s="75" t="s">
        <v>42</v>
      </c>
      <c r="O102" s="80" t="s">
        <v>1147</v>
      </c>
      <c r="P102" s="81">
        <v>35704</v>
      </c>
      <c r="Q102" s="80" t="s">
        <v>336</v>
      </c>
      <c r="R102" s="81"/>
      <c r="S102" s="81">
        <v>44254</v>
      </c>
      <c r="T102" s="81"/>
      <c r="U102" s="81"/>
      <c r="V102" s="76"/>
      <c r="W102" s="76"/>
      <c r="X102" s="5"/>
      <c r="Y102" s="5" t="s">
        <v>134</v>
      </c>
      <c r="Z102" s="76" t="s">
        <v>134</v>
      </c>
      <c r="AA102" s="82" t="s">
        <v>36</v>
      </c>
      <c r="AB102" s="83" t="s">
        <v>37</v>
      </c>
      <c r="AC102" s="84"/>
      <c r="AD102" s="76"/>
      <c r="AE102" s="76"/>
      <c r="AF102" s="76"/>
      <c r="AG102" s="84"/>
      <c r="AH102" s="76"/>
      <c r="AI102" s="76"/>
      <c r="AJ102" s="76"/>
      <c r="AK102" s="84"/>
      <c r="AL102" s="84"/>
      <c r="AM102" s="84"/>
      <c r="AN102" s="84"/>
      <c r="AO102" s="84"/>
    </row>
    <row r="103" spans="1:41" s="1" customFormat="1" ht="45" customHeight="1" x14ac:dyDescent="0.2">
      <c r="A103" s="75">
        <v>85</v>
      </c>
      <c r="B103" s="75"/>
      <c r="C103" s="76" t="s">
        <v>87</v>
      </c>
      <c r="D103" s="76" t="s">
        <v>1148</v>
      </c>
      <c r="E103" s="75" t="s">
        <v>1149</v>
      </c>
      <c r="F103" s="75" t="e">
        <f t="shared" si="17"/>
        <v>#VALUE!</v>
      </c>
      <c r="G103" s="77">
        <v>0.7</v>
      </c>
      <c r="H103" s="78" t="e">
        <f t="shared" si="14"/>
        <v>#VALUE!</v>
      </c>
      <c r="I103" s="78" t="e">
        <f t="shared" si="15"/>
        <v>#VALUE!</v>
      </c>
      <c r="J103" s="75"/>
      <c r="K103" s="79">
        <v>34575.769999999997</v>
      </c>
      <c r="L103" s="79">
        <f t="shared" si="16"/>
        <v>24203.038999999997</v>
      </c>
      <c r="M103" s="76"/>
      <c r="N103" s="75" t="s">
        <v>42</v>
      </c>
      <c r="O103" s="80" t="s">
        <v>1150</v>
      </c>
      <c r="P103" s="81">
        <v>36696</v>
      </c>
      <c r="Q103" s="80" t="s">
        <v>336</v>
      </c>
      <c r="R103" s="81"/>
      <c r="S103" s="81">
        <v>43158</v>
      </c>
      <c r="T103" s="81"/>
      <c r="U103" s="81"/>
      <c r="V103" s="76"/>
      <c r="W103" s="76"/>
      <c r="X103" s="5"/>
      <c r="Y103" s="5" t="s">
        <v>134</v>
      </c>
      <c r="Z103" s="76" t="s">
        <v>134</v>
      </c>
      <c r="AA103" s="82" t="s">
        <v>36</v>
      </c>
      <c r="AB103" s="83" t="s">
        <v>37</v>
      </c>
      <c r="AC103" s="84"/>
      <c r="AD103" s="76"/>
      <c r="AE103" s="76"/>
      <c r="AF103" s="76"/>
      <c r="AG103" s="84"/>
      <c r="AH103" s="76"/>
      <c r="AI103" s="76"/>
      <c r="AJ103" s="76"/>
      <c r="AK103" s="84"/>
      <c r="AL103" s="84"/>
      <c r="AM103" s="84"/>
      <c r="AN103" s="84"/>
      <c r="AO103" s="84"/>
    </row>
    <row r="104" spans="1:41" s="1" customFormat="1" ht="45" customHeight="1" x14ac:dyDescent="0.2">
      <c r="A104" s="75">
        <v>86</v>
      </c>
      <c r="B104" s="75"/>
      <c r="C104" s="76" t="s">
        <v>87</v>
      </c>
      <c r="D104" s="76" t="s">
        <v>1151</v>
      </c>
      <c r="E104" s="75" t="s">
        <v>1152</v>
      </c>
      <c r="F104" s="75" t="e">
        <f t="shared" si="17"/>
        <v>#VALUE!</v>
      </c>
      <c r="G104" s="85">
        <v>0.67500000000000004</v>
      </c>
      <c r="H104" s="78" t="e">
        <f t="shared" si="14"/>
        <v>#VALUE!</v>
      </c>
      <c r="I104" s="78" t="e">
        <f t="shared" si="15"/>
        <v>#VALUE!</v>
      </c>
      <c r="J104" s="75"/>
      <c r="K104" s="79">
        <v>32541.78</v>
      </c>
      <c r="L104" s="79">
        <f t="shared" si="16"/>
        <v>21965.701499999999</v>
      </c>
      <c r="M104" s="76"/>
      <c r="N104" s="75" t="s">
        <v>42</v>
      </c>
      <c r="O104" s="80" t="s">
        <v>1153</v>
      </c>
      <c r="P104" s="81">
        <v>37092</v>
      </c>
      <c r="Q104" s="80" t="s">
        <v>336</v>
      </c>
      <c r="R104" s="81"/>
      <c r="S104" s="81">
        <v>44254</v>
      </c>
      <c r="T104" s="81"/>
      <c r="U104" s="81"/>
      <c r="V104" s="76"/>
      <c r="W104" s="76"/>
      <c r="X104" s="5"/>
      <c r="Y104" s="5" t="s">
        <v>134</v>
      </c>
      <c r="Z104" s="76" t="s">
        <v>134</v>
      </c>
      <c r="AA104" s="82" t="s">
        <v>36</v>
      </c>
      <c r="AB104" s="83" t="s">
        <v>37</v>
      </c>
      <c r="AC104" s="84"/>
      <c r="AD104" s="76"/>
      <c r="AE104" s="76"/>
      <c r="AF104" s="76"/>
      <c r="AG104" s="84"/>
      <c r="AH104" s="76"/>
      <c r="AI104" s="76"/>
      <c r="AJ104" s="76"/>
      <c r="AK104" s="84"/>
      <c r="AL104" s="84"/>
      <c r="AM104" s="84"/>
      <c r="AN104" s="84"/>
      <c r="AO104" s="84"/>
    </row>
    <row r="105" spans="1:41" s="1" customFormat="1" ht="45" customHeight="1" x14ac:dyDescent="0.2">
      <c r="A105" s="75">
        <v>87</v>
      </c>
      <c r="B105" s="75"/>
      <c r="C105" s="76" t="s">
        <v>87</v>
      </c>
      <c r="D105" s="76" t="s">
        <v>1154</v>
      </c>
      <c r="E105" s="75" t="s">
        <v>1155</v>
      </c>
      <c r="F105" s="75" t="e">
        <f t="shared" si="17"/>
        <v>#VALUE!</v>
      </c>
      <c r="G105" s="85">
        <v>0.82499999999999996</v>
      </c>
      <c r="H105" s="78" t="e">
        <f t="shared" si="14"/>
        <v>#VALUE!</v>
      </c>
      <c r="I105" s="78" t="e">
        <f t="shared" si="15"/>
        <v>#VALUE!</v>
      </c>
      <c r="J105" s="75"/>
      <c r="K105" s="79">
        <v>34575.769999999997</v>
      </c>
      <c r="L105" s="79">
        <f t="shared" si="16"/>
        <v>28525.010249999996</v>
      </c>
      <c r="M105" s="76"/>
      <c r="N105" s="75" t="s">
        <v>42</v>
      </c>
      <c r="O105" s="80" t="s">
        <v>1156</v>
      </c>
      <c r="P105" s="81">
        <v>35379</v>
      </c>
      <c r="Q105" s="80" t="s">
        <v>336</v>
      </c>
      <c r="R105" s="81"/>
      <c r="S105" s="81">
        <v>42430</v>
      </c>
      <c r="T105" s="81">
        <v>33817</v>
      </c>
      <c r="U105" s="81">
        <v>34398</v>
      </c>
      <c r="V105" s="76"/>
      <c r="W105" s="76"/>
      <c r="X105" s="5"/>
      <c r="Y105" s="5" t="s">
        <v>134</v>
      </c>
      <c r="Z105" s="76" t="s">
        <v>134</v>
      </c>
      <c r="AA105" s="82" t="s">
        <v>36</v>
      </c>
      <c r="AB105" s="83" t="s">
        <v>37</v>
      </c>
      <c r="AC105" s="84"/>
      <c r="AD105" s="76"/>
      <c r="AE105" s="76"/>
      <c r="AF105" s="76"/>
      <c r="AG105" s="84"/>
      <c r="AH105" s="76"/>
      <c r="AI105" s="76"/>
      <c r="AJ105" s="76"/>
      <c r="AK105" s="84"/>
      <c r="AL105" s="84"/>
      <c r="AM105" s="84"/>
      <c r="AN105" s="84"/>
      <c r="AO105" s="84"/>
    </row>
    <row r="106" spans="1:41" s="1" customFormat="1" ht="45" customHeight="1" x14ac:dyDescent="0.2">
      <c r="A106" s="75">
        <v>88</v>
      </c>
      <c r="B106" s="75"/>
      <c r="C106" s="76" t="s">
        <v>87</v>
      </c>
      <c r="D106" s="76" t="s">
        <v>1157</v>
      </c>
      <c r="E106" s="75" t="s">
        <v>1158</v>
      </c>
      <c r="F106" s="75" t="e">
        <f t="shared" ref="F106" si="18">DATEDIF(P106,Q106,"y") + DATEDIF(T106,U106,"y") + DATEDIF(V106,W106,"y") + SUM(AD106) &amp; " años " &amp; DATEDIF(P106,Q106,"ym") + DATEDIF(T106,U106,"ym") + DATEDIF(V106,W106,"ym") + SUM(AE106) - SUM(AI106) &amp; " meses " &amp; DATEDIF(P106,Q106,"md") + DATEDIF(T106,U106,"md") + DATEDIF(V106,W106,"md") - SUM(AJ106) &amp; " días"</f>
        <v>#VALUE!</v>
      </c>
      <c r="G106" s="85">
        <v>0.77500000000000002</v>
      </c>
      <c r="H106" s="78" t="e">
        <f t="shared" si="14"/>
        <v>#VALUE!</v>
      </c>
      <c r="I106" s="78" t="e">
        <f t="shared" si="15"/>
        <v>#VALUE!</v>
      </c>
      <c r="J106" s="75"/>
      <c r="K106" s="79">
        <v>34575.769999999997</v>
      </c>
      <c r="L106" s="79">
        <f t="shared" si="16"/>
        <v>26796.221749999997</v>
      </c>
      <c r="M106" s="76"/>
      <c r="N106" s="75" t="s">
        <v>42</v>
      </c>
      <c r="O106" s="80" t="s">
        <v>1159</v>
      </c>
      <c r="P106" s="81">
        <v>35674</v>
      </c>
      <c r="Q106" s="80" t="s">
        <v>336</v>
      </c>
      <c r="R106" s="81"/>
      <c r="S106" s="81">
        <v>42795</v>
      </c>
      <c r="T106" s="81"/>
      <c r="U106" s="81"/>
      <c r="V106" s="76"/>
      <c r="W106" s="76"/>
      <c r="X106" s="5"/>
      <c r="Y106" s="5" t="s">
        <v>134</v>
      </c>
      <c r="Z106" s="76" t="s">
        <v>134</v>
      </c>
      <c r="AA106" s="82" t="s">
        <v>36</v>
      </c>
      <c r="AB106" s="83" t="s">
        <v>37</v>
      </c>
      <c r="AC106" s="84"/>
      <c r="AD106" s="76"/>
      <c r="AE106" s="76"/>
      <c r="AF106" s="76"/>
      <c r="AG106" s="84"/>
      <c r="AH106" s="76"/>
      <c r="AI106" s="76"/>
      <c r="AJ106" s="76"/>
      <c r="AK106" s="84"/>
      <c r="AL106" s="84"/>
      <c r="AM106" s="84"/>
      <c r="AN106" s="84"/>
      <c r="AO106" s="84"/>
    </row>
    <row r="107" spans="1:41" s="1" customFormat="1" ht="45" customHeight="1" x14ac:dyDescent="0.2">
      <c r="A107" s="75">
        <v>89</v>
      </c>
      <c r="B107" s="75"/>
      <c r="C107" s="76" t="s">
        <v>87</v>
      </c>
      <c r="D107" s="76" t="s">
        <v>1160</v>
      </c>
      <c r="E107" s="75" t="s">
        <v>1161</v>
      </c>
      <c r="F107" s="75" t="e">
        <f t="shared" si="17"/>
        <v>#VALUE!</v>
      </c>
      <c r="G107" s="77">
        <v>0.97</v>
      </c>
      <c r="H107" s="78" t="e">
        <f t="shared" si="14"/>
        <v>#VALUE!</v>
      </c>
      <c r="I107" s="78" t="e">
        <f t="shared" si="15"/>
        <v>#VALUE!</v>
      </c>
      <c r="J107" s="75" t="s">
        <v>13</v>
      </c>
      <c r="K107" s="79">
        <f>34575.78</f>
        <v>34575.78</v>
      </c>
      <c r="L107" s="79">
        <f t="shared" si="16"/>
        <v>33538.506600000001</v>
      </c>
      <c r="M107" s="76"/>
      <c r="N107" s="75" t="s">
        <v>42</v>
      </c>
      <c r="O107" s="80" t="s">
        <v>1162</v>
      </c>
      <c r="P107" s="81">
        <v>33086</v>
      </c>
      <c r="Q107" s="80" t="s">
        <v>336</v>
      </c>
      <c r="R107" s="81"/>
      <c r="S107" s="81">
        <v>40603</v>
      </c>
      <c r="T107" s="81"/>
      <c r="U107" s="81"/>
      <c r="V107" s="76"/>
      <c r="W107" s="76"/>
      <c r="X107" s="5"/>
      <c r="Y107" s="5"/>
      <c r="Z107" s="76" t="s">
        <v>190</v>
      </c>
      <c r="AA107" s="82" t="s">
        <v>36</v>
      </c>
      <c r="AB107" s="83" t="s">
        <v>37</v>
      </c>
      <c r="AC107" s="84"/>
      <c r="AD107" s="76"/>
      <c r="AE107" s="76"/>
      <c r="AF107" s="76"/>
      <c r="AG107" s="84"/>
      <c r="AH107" s="76"/>
      <c r="AI107" s="76"/>
      <c r="AJ107" s="76"/>
      <c r="AK107" s="84"/>
      <c r="AL107" s="84"/>
      <c r="AM107" s="84"/>
      <c r="AN107" s="84"/>
      <c r="AO107" s="84"/>
    </row>
    <row r="108" spans="1:41" s="1" customFormat="1" ht="45" customHeight="1" x14ac:dyDescent="0.2">
      <c r="A108" s="75">
        <v>90</v>
      </c>
      <c r="B108" s="75"/>
      <c r="C108" s="76" t="s">
        <v>87</v>
      </c>
      <c r="D108" s="76" t="s">
        <v>1163</v>
      </c>
      <c r="E108" s="75" t="s">
        <v>1164</v>
      </c>
      <c r="F108" s="75" t="e">
        <f t="shared" si="17"/>
        <v>#VALUE!</v>
      </c>
      <c r="G108" s="85">
        <v>0.625</v>
      </c>
      <c r="H108" s="78" t="e">
        <f t="shared" si="14"/>
        <v>#VALUE!</v>
      </c>
      <c r="I108" s="78" t="e">
        <f t="shared" si="15"/>
        <v>#VALUE!</v>
      </c>
      <c r="J108" s="75"/>
      <c r="K108" s="79">
        <v>34575.769999999997</v>
      </c>
      <c r="L108" s="79">
        <f t="shared" si="16"/>
        <v>21609.856249999997</v>
      </c>
      <c r="M108" s="76"/>
      <c r="N108" s="75" t="s">
        <v>42</v>
      </c>
      <c r="O108" s="80" t="s">
        <v>1165</v>
      </c>
      <c r="P108" s="81">
        <v>37834</v>
      </c>
      <c r="Q108" s="80" t="s">
        <v>336</v>
      </c>
      <c r="R108" s="81"/>
      <c r="S108" s="81">
        <v>42430</v>
      </c>
      <c r="T108" s="81"/>
      <c r="U108" s="81"/>
      <c r="V108" s="76"/>
      <c r="W108" s="76"/>
      <c r="X108" s="5"/>
      <c r="Y108" s="5"/>
      <c r="Z108" s="76" t="s">
        <v>268</v>
      </c>
      <c r="AA108" s="82" t="s">
        <v>36</v>
      </c>
      <c r="AB108" s="83" t="s">
        <v>37</v>
      </c>
      <c r="AC108" s="84"/>
      <c r="AD108" s="76"/>
      <c r="AE108" s="76"/>
      <c r="AF108" s="76"/>
      <c r="AG108" s="84"/>
      <c r="AH108" s="76"/>
      <c r="AI108" s="76"/>
      <c r="AJ108" s="76"/>
      <c r="AK108" s="84"/>
      <c r="AL108" s="84"/>
      <c r="AM108" s="84"/>
      <c r="AN108" s="84"/>
      <c r="AO108" s="84"/>
    </row>
    <row r="109" spans="1:41" s="1" customFormat="1" ht="45" customHeight="1" x14ac:dyDescent="0.2">
      <c r="A109" s="75">
        <v>91</v>
      </c>
      <c r="B109" s="75"/>
      <c r="C109" s="76" t="s">
        <v>87</v>
      </c>
      <c r="D109" s="76" t="s">
        <v>1166</v>
      </c>
      <c r="E109" s="75" t="s">
        <v>1167</v>
      </c>
      <c r="F109" s="75" t="e">
        <f t="shared" si="17"/>
        <v>#VALUE!</v>
      </c>
      <c r="G109" s="77">
        <v>0.94</v>
      </c>
      <c r="H109" s="78" t="e">
        <f t="shared" si="14"/>
        <v>#VALUE!</v>
      </c>
      <c r="I109" s="78" t="e">
        <f t="shared" si="15"/>
        <v>#VALUE!</v>
      </c>
      <c r="J109" s="75"/>
      <c r="K109" s="79">
        <v>34575.78</v>
      </c>
      <c r="L109" s="79">
        <f t="shared" si="16"/>
        <v>32501.233199999999</v>
      </c>
      <c r="M109" s="76"/>
      <c r="N109" s="75" t="s">
        <v>42</v>
      </c>
      <c r="O109" s="80" t="s">
        <v>1168</v>
      </c>
      <c r="P109" s="81">
        <v>33390</v>
      </c>
      <c r="Q109" s="80" t="s">
        <v>336</v>
      </c>
      <c r="R109" s="81"/>
      <c r="S109" s="81">
        <v>42795</v>
      </c>
      <c r="T109" s="81"/>
      <c r="U109" s="81"/>
      <c r="V109" s="76"/>
      <c r="W109" s="76"/>
      <c r="X109" s="5"/>
      <c r="Y109" s="5"/>
      <c r="Z109" s="76" t="s">
        <v>190</v>
      </c>
      <c r="AA109" s="82" t="s">
        <v>36</v>
      </c>
      <c r="AB109" s="83" t="s">
        <v>37</v>
      </c>
      <c r="AC109" s="84"/>
      <c r="AD109" s="76"/>
      <c r="AE109" s="76"/>
      <c r="AF109" s="76"/>
      <c r="AG109" s="84"/>
      <c r="AH109" s="76"/>
      <c r="AI109" s="76"/>
      <c r="AJ109" s="76"/>
      <c r="AK109" s="84"/>
      <c r="AL109" s="84"/>
      <c r="AM109" s="84"/>
      <c r="AN109" s="84"/>
      <c r="AO109" s="84"/>
    </row>
    <row r="110" spans="1:41" s="1" customFormat="1" ht="45" customHeight="1" x14ac:dyDescent="0.2">
      <c r="A110" s="75">
        <v>92</v>
      </c>
      <c r="B110" s="75"/>
      <c r="C110" s="76" t="s">
        <v>122</v>
      </c>
      <c r="D110" s="76" t="s">
        <v>1169</v>
      </c>
      <c r="E110" s="75" t="s">
        <v>1170</v>
      </c>
      <c r="F110" s="75" t="e">
        <f t="shared" si="17"/>
        <v>#VALUE!</v>
      </c>
      <c r="G110" s="77">
        <v>0.94</v>
      </c>
      <c r="H110" s="78" t="e">
        <f t="shared" si="14"/>
        <v>#VALUE!</v>
      </c>
      <c r="I110" s="78" t="e">
        <f t="shared" si="15"/>
        <v>#VALUE!</v>
      </c>
      <c r="J110" s="75"/>
      <c r="K110" s="79">
        <f>31510.28</f>
        <v>31510.28</v>
      </c>
      <c r="L110" s="79">
        <f t="shared" si="16"/>
        <v>29619.663199999995</v>
      </c>
      <c r="M110" s="76"/>
      <c r="N110" s="75" t="s">
        <v>42</v>
      </c>
      <c r="O110" s="80" t="s">
        <v>1171</v>
      </c>
      <c r="P110" s="81">
        <v>33451</v>
      </c>
      <c r="Q110" s="80" t="s">
        <v>336</v>
      </c>
      <c r="R110" s="81"/>
      <c r="S110" s="81">
        <v>44619</v>
      </c>
      <c r="T110" s="81"/>
      <c r="U110" s="81"/>
      <c r="V110" s="76"/>
      <c r="W110" s="76"/>
      <c r="X110" s="5"/>
      <c r="Y110" s="5"/>
      <c r="Z110" s="76" t="s">
        <v>1032</v>
      </c>
      <c r="AA110" s="82" t="s">
        <v>36</v>
      </c>
      <c r="AB110" s="83" t="s">
        <v>37</v>
      </c>
      <c r="AC110" s="84"/>
      <c r="AD110" s="76"/>
      <c r="AE110" s="76"/>
      <c r="AF110" s="76"/>
      <c r="AG110" s="84"/>
      <c r="AH110" s="76"/>
      <c r="AI110" s="76"/>
      <c r="AJ110" s="76"/>
      <c r="AK110" s="84"/>
      <c r="AL110" s="84"/>
      <c r="AM110" s="84"/>
      <c r="AN110" s="84"/>
      <c r="AO110" s="84"/>
    </row>
    <row r="111" spans="1:41" s="1" customFormat="1" ht="45" customHeight="1" x14ac:dyDescent="0.2">
      <c r="A111" s="75">
        <v>93</v>
      </c>
      <c r="B111" s="75"/>
      <c r="C111" s="76" t="s">
        <v>122</v>
      </c>
      <c r="D111" s="76" t="s">
        <v>1172</v>
      </c>
      <c r="E111" s="75" t="s">
        <v>1173</v>
      </c>
      <c r="F111" s="75" t="e">
        <f t="shared" si="17"/>
        <v>#VALUE!</v>
      </c>
      <c r="G111" s="77">
        <v>0.88</v>
      </c>
      <c r="H111" s="78" t="e">
        <f t="shared" si="14"/>
        <v>#VALUE!</v>
      </c>
      <c r="I111" s="78" t="e">
        <f t="shared" si="15"/>
        <v>#VALUE!</v>
      </c>
      <c r="J111" s="75"/>
      <c r="K111" s="79">
        <v>32541.78</v>
      </c>
      <c r="L111" s="79">
        <f t="shared" si="16"/>
        <v>28636.7664</v>
      </c>
      <c r="M111" s="76"/>
      <c r="N111" s="75" t="s">
        <v>42</v>
      </c>
      <c r="O111" s="80" t="s">
        <v>1174</v>
      </c>
      <c r="P111" s="81">
        <v>36932</v>
      </c>
      <c r="Q111" s="80" t="s">
        <v>336</v>
      </c>
      <c r="R111" s="81"/>
      <c r="S111" s="81">
        <v>43158</v>
      </c>
      <c r="T111" s="81">
        <v>32933</v>
      </c>
      <c r="U111" s="81">
        <v>34394</v>
      </c>
      <c r="V111" s="76">
        <v>34547</v>
      </c>
      <c r="W111" s="76">
        <v>36008</v>
      </c>
      <c r="X111" s="5"/>
      <c r="Y111" s="5"/>
      <c r="Z111" s="76" t="s">
        <v>1032</v>
      </c>
      <c r="AA111" s="82" t="s">
        <v>36</v>
      </c>
      <c r="AB111" s="83" t="s">
        <v>37</v>
      </c>
      <c r="AC111" s="84"/>
      <c r="AD111" s="76"/>
      <c r="AE111" s="76"/>
      <c r="AF111" s="76"/>
      <c r="AG111" s="84"/>
      <c r="AH111" s="76"/>
      <c r="AI111" s="76"/>
      <c r="AJ111" s="76"/>
      <c r="AK111" s="84"/>
      <c r="AL111" s="84"/>
      <c r="AM111" s="84"/>
      <c r="AN111" s="84"/>
      <c r="AO111" s="84"/>
    </row>
    <row r="112" spans="1:41" s="1" customFormat="1" ht="45" customHeight="1" x14ac:dyDescent="0.2">
      <c r="A112" s="75">
        <v>94</v>
      </c>
      <c r="B112" s="75"/>
      <c r="C112" s="76" t="s">
        <v>122</v>
      </c>
      <c r="D112" s="76" t="s">
        <v>1175</v>
      </c>
      <c r="E112" s="75" t="s">
        <v>1176</v>
      </c>
      <c r="F112" s="75" t="e">
        <f t="shared" si="17"/>
        <v>#VALUE!</v>
      </c>
      <c r="G112" s="77">
        <v>0.75</v>
      </c>
      <c r="H112" s="78" t="e">
        <f t="shared" si="14"/>
        <v>#VALUE!</v>
      </c>
      <c r="I112" s="78" t="e">
        <f t="shared" si="15"/>
        <v>#VALUE!</v>
      </c>
      <c r="J112" s="75"/>
      <c r="K112" s="79">
        <v>32541.77</v>
      </c>
      <c r="L112" s="79">
        <f t="shared" si="16"/>
        <v>24406.327499999999</v>
      </c>
      <c r="M112" s="76"/>
      <c r="N112" s="75" t="s">
        <v>42</v>
      </c>
      <c r="O112" s="80" t="s">
        <v>1177</v>
      </c>
      <c r="P112" s="81">
        <v>36790</v>
      </c>
      <c r="Q112" s="80" t="s">
        <v>336</v>
      </c>
      <c r="R112" s="81"/>
      <c r="S112" s="81">
        <v>43525</v>
      </c>
      <c r="T112" s="81">
        <v>31444</v>
      </c>
      <c r="U112" s="81">
        <v>32304</v>
      </c>
      <c r="V112" s="76"/>
      <c r="W112" s="76"/>
      <c r="X112" s="5"/>
      <c r="Y112" s="5"/>
      <c r="Z112" s="76" t="s">
        <v>1032</v>
      </c>
      <c r="AA112" s="82" t="s">
        <v>36</v>
      </c>
      <c r="AB112" s="83" t="s">
        <v>37</v>
      </c>
      <c r="AC112" s="84"/>
      <c r="AD112" s="76"/>
      <c r="AE112" s="76"/>
      <c r="AF112" s="76"/>
      <c r="AG112" s="84"/>
      <c r="AH112" s="76"/>
      <c r="AI112" s="76"/>
      <c r="AJ112" s="76"/>
      <c r="AK112" s="84"/>
      <c r="AL112" s="84"/>
      <c r="AM112" s="84"/>
      <c r="AN112" s="84"/>
      <c r="AO112" s="84"/>
    </row>
    <row r="113" spans="1:41" s="1" customFormat="1" ht="45" customHeight="1" x14ac:dyDescent="0.2">
      <c r="A113" s="75">
        <v>95</v>
      </c>
      <c r="B113" s="75"/>
      <c r="C113" s="76" t="s">
        <v>122</v>
      </c>
      <c r="D113" s="76" t="s">
        <v>1178</v>
      </c>
      <c r="E113" s="75" t="s">
        <v>1179</v>
      </c>
      <c r="F113" s="75" t="e">
        <f t="shared" si="17"/>
        <v>#VALUE!</v>
      </c>
      <c r="G113" s="85">
        <v>0.77500000000000002</v>
      </c>
      <c r="H113" s="78" t="e">
        <f t="shared" si="14"/>
        <v>#VALUE!</v>
      </c>
      <c r="I113" s="78" t="e">
        <f t="shared" si="15"/>
        <v>#VALUE!</v>
      </c>
      <c r="J113" s="75"/>
      <c r="K113" s="79">
        <v>32541.78</v>
      </c>
      <c r="L113" s="79">
        <f t="shared" si="16"/>
        <v>25219.879499999999</v>
      </c>
      <c r="M113" s="76"/>
      <c r="N113" s="75" t="s">
        <v>42</v>
      </c>
      <c r="O113" s="80" t="s">
        <v>1180</v>
      </c>
      <c r="P113" s="81">
        <v>36932</v>
      </c>
      <c r="Q113" s="80" t="s">
        <v>336</v>
      </c>
      <c r="R113" s="81"/>
      <c r="S113" s="81">
        <v>43525</v>
      </c>
      <c r="T113" s="81">
        <v>32933</v>
      </c>
      <c r="U113" s="81">
        <v>34394</v>
      </c>
      <c r="V113" s="76"/>
      <c r="W113" s="76"/>
      <c r="X113" s="5"/>
      <c r="Y113" s="5"/>
      <c r="Z113" s="76" t="s">
        <v>1032</v>
      </c>
      <c r="AA113" s="82" t="s">
        <v>36</v>
      </c>
      <c r="AB113" s="83" t="s">
        <v>37</v>
      </c>
      <c r="AC113" s="84"/>
      <c r="AD113" s="76"/>
      <c r="AE113" s="76"/>
      <c r="AF113" s="76"/>
      <c r="AG113" s="84"/>
      <c r="AH113" s="76"/>
      <c r="AI113" s="76"/>
      <c r="AJ113" s="76"/>
      <c r="AK113" s="84"/>
      <c r="AL113" s="84"/>
      <c r="AM113" s="84"/>
      <c r="AN113" s="84"/>
      <c r="AO113" s="84"/>
    </row>
    <row r="114" spans="1:41" s="1" customFormat="1" ht="45" customHeight="1" x14ac:dyDescent="0.2">
      <c r="A114" s="75">
        <v>96</v>
      </c>
      <c r="B114" s="75"/>
      <c r="C114" s="76" t="s">
        <v>122</v>
      </c>
      <c r="D114" s="76" t="s">
        <v>1181</v>
      </c>
      <c r="E114" s="75" t="s">
        <v>1182</v>
      </c>
      <c r="F114" s="75" t="e">
        <f t="shared" si="17"/>
        <v>#VALUE!</v>
      </c>
      <c r="G114" s="85">
        <v>0.72499999999999998</v>
      </c>
      <c r="H114" s="78" t="e">
        <f t="shared" si="14"/>
        <v>#VALUE!</v>
      </c>
      <c r="I114" s="78" t="e">
        <f t="shared" si="15"/>
        <v>#VALUE!</v>
      </c>
      <c r="J114" s="75"/>
      <c r="K114" s="79">
        <f>32541.78</f>
        <v>32541.78</v>
      </c>
      <c r="L114" s="79">
        <f t="shared" si="16"/>
        <v>23592.790499999999</v>
      </c>
      <c r="M114" s="76"/>
      <c r="N114" s="75" t="s">
        <v>42</v>
      </c>
      <c r="O114" s="80" t="s">
        <v>1183</v>
      </c>
      <c r="P114" s="81">
        <v>36342</v>
      </c>
      <c r="Q114" s="80" t="s">
        <v>336</v>
      </c>
      <c r="R114" s="81"/>
      <c r="S114" s="81">
        <v>43525</v>
      </c>
      <c r="T114" s="81"/>
      <c r="U114" s="81"/>
      <c r="V114" s="76"/>
      <c r="W114" s="76"/>
      <c r="X114" s="5"/>
      <c r="Y114" s="5"/>
      <c r="Z114" s="76" t="s">
        <v>1032</v>
      </c>
      <c r="AA114" s="82" t="s">
        <v>36</v>
      </c>
      <c r="AB114" s="83" t="s">
        <v>37</v>
      </c>
      <c r="AC114" s="84"/>
      <c r="AD114" s="76"/>
      <c r="AE114" s="76"/>
      <c r="AF114" s="76"/>
      <c r="AG114" s="84"/>
      <c r="AH114" s="76"/>
      <c r="AI114" s="76"/>
      <c r="AJ114" s="76"/>
      <c r="AK114" s="84"/>
      <c r="AL114" s="84"/>
      <c r="AM114" s="84"/>
      <c r="AN114" s="84"/>
      <c r="AO114" s="84"/>
    </row>
    <row r="115" spans="1:41" s="1" customFormat="1" ht="45" customHeight="1" x14ac:dyDescent="0.2">
      <c r="A115" s="75">
        <v>97</v>
      </c>
      <c r="B115" s="75"/>
      <c r="C115" s="76" t="s">
        <v>122</v>
      </c>
      <c r="D115" s="76" t="s">
        <v>1184</v>
      </c>
      <c r="E115" s="75" t="s">
        <v>1185</v>
      </c>
      <c r="F115" s="75" t="e">
        <f t="shared" si="17"/>
        <v>#VALUE!</v>
      </c>
      <c r="G115" s="85">
        <v>0.72499999999999998</v>
      </c>
      <c r="H115" s="78" t="e">
        <f t="shared" si="14"/>
        <v>#VALUE!</v>
      </c>
      <c r="I115" s="78" t="e">
        <f t="shared" si="15"/>
        <v>#VALUE!</v>
      </c>
      <c r="J115" s="75"/>
      <c r="K115" s="79">
        <v>31510.28</v>
      </c>
      <c r="L115" s="79">
        <f t="shared" si="16"/>
        <v>22844.952999999998</v>
      </c>
      <c r="M115" s="76"/>
      <c r="N115" s="75" t="s">
        <v>42</v>
      </c>
      <c r="O115" s="80" t="s">
        <v>1186</v>
      </c>
      <c r="P115" s="81">
        <v>39463</v>
      </c>
      <c r="Q115" s="80" t="s">
        <v>336</v>
      </c>
      <c r="R115" s="81"/>
      <c r="S115" s="81">
        <v>44254</v>
      </c>
      <c r="T115" s="81">
        <v>33817</v>
      </c>
      <c r="U115" s="81">
        <v>35278</v>
      </c>
      <c r="V115" s="76">
        <v>36784</v>
      </c>
      <c r="W115" s="76">
        <v>38385</v>
      </c>
      <c r="X115" s="5"/>
      <c r="Y115" s="5"/>
      <c r="Z115" s="76" t="s">
        <v>1032</v>
      </c>
      <c r="AA115" s="82" t="s">
        <v>36</v>
      </c>
      <c r="AB115" s="83" t="s">
        <v>37</v>
      </c>
      <c r="AC115" s="84"/>
      <c r="AD115" s="76"/>
      <c r="AE115" s="76">
        <v>1</v>
      </c>
      <c r="AF115" s="76"/>
      <c r="AG115" s="84"/>
      <c r="AH115" s="76"/>
      <c r="AI115" s="76"/>
      <c r="AJ115" s="76">
        <v>30</v>
      </c>
      <c r="AK115" s="84"/>
      <c r="AL115" s="84"/>
      <c r="AM115" s="84"/>
      <c r="AN115" s="84"/>
      <c r="AO115" s="84"/>
    </row>
    <row r="116" spans="1:41" s="1" customFormat="1" ht="45" customHeight="1" x14ac:dyDescent="0.2">
      <c r="A116" s="75">
        <v>98</v>
      </c>
      <c r="B116" s="75"/>
      <c r="C116" s="76" t="s">
        <v>122</v>
      </c>
      <c r="D116" s="76" t="s">
        <v>1187</v>
      </c>
      <c r="E116" s="75" t="s">
        <v>1188</v>
      </c>
      <c r="F116" s="75" t="e">
        <f t="shared" si="17"/>
        <v>#VALUE!</v>
      </c>
      <c r="G116" s="77">
        <v>0.88</v>
      </c>
      <c r="H116" s="78" t="e">
        <f t="shared" si="14"/>
        <v>#VALUE!</v>
      </c>
      <c r="I116" s="78" t="e">
        <f t="shared" si="15"/>
        <v>#VALUE!</v>
      </c>
      <c r="J116" s="75"/>
      <c r="K116" s="79">
        <v>32541.77</v>
      </c>
      <c r="L116" s="79">
        <f t="shared" si="16"/>
        <v>28636.757600000001</v>
      </c>
      <c r="M116" s="76"/>
      <c r="N116" s="75" t="s">
        <v>42</v>
      </c>
      <c r="O116" s="80" t="s">
        <v>1189</v>
      </c>
      <c r="P116" s="81">
        <v>36784</v>
      </c>
      <c r="Q116" s="80" t="s">
        <v>336</v>
      </c>
      <c r="R116" s="81"/>
      <c r="S116" s="81">
        <v>43158</v>
      </c>
      <c r="T116" s="81">
        <v>32629</v>
      </c>
      <c r="U116" s="81">
        <v>35551</v>
      </c>
      <c r="V116" s="76"/>
      <c r="W116" s="76"/>
      <c r="X116" s="5"/>
      <c r="Y116" s="5" t="s">
        <v>35</v>
      </c>
      <c r="Z116" s="76" t="s">
        <v>35</v>
      </c>
      <c r="AA116" s="82" t="s">
        <v>36</v>
      </c>
      <c r="AB116" s="83" t="s">
        <v>37</v>
      </c>
      <c r="AC116" s="84"/>
      <c r="AD116" s="76"/>
      <c r="AE116" s="76"/>
      <c r="AF116" s="76"/>
      <c r="AG116" s="84"/>
      <c r="AH116" s="76"/>
      <c r="AI116" s="76"/>
      <c r="AJ116" s="76"/>
      <c r="AK116" s="84"/>
      <c r="AL116" s="84"/>
      <c r="AM116" s="84"/>
      <c r="AN116" s="84"/>
      <c r="AO116" s="84"/>
    </row>
    <row r="117" spans="1:41" s="1" customFormat="1" ht="45" customHeight="1" x14ac:dyDescent="0.2">
      <c r="A117" s="75">
        <v>99</v>
      </c>
      <c r="B117" s="75"/>
      <c r="C117" s="76" t="s">
        <v>122</v>
      </c>
      <c r="D117" s="76" t="s">
        <v>1190</v>
      </c>
      <c r="E117" s="75" t="s">
        <v>1191</v>
      </c>
      <c r="F117" s="75" t="e">
        <f t="shared" si="17"/>
        <v>#VALUE!</v>
      </c>
      <c r="G117" s="77">
        <v>0.75</v>
      </c>
      <c r="H117" s="78" t="e">
        <f t="shared" si="14"/>
        <v>#VALUE!</v>
      </c>
      <c r="I117" s="78" t="e">
        <f t="shared" si="15"/>
        <v>#VALUE!</v>
      </c>
      <c r="J117" s="75"/>
      <c r="K117" s="79">
        <f>31510.28+8000</f>
        <v>39510.28</v>
      </c>
      <c r="L117" s="79">
        <f t="shared" si="16"/>
        <v>29632.71</v>
      </c>
      <c r="M117" s="76"/>
      <c r="N117" s="75" t="s">
        <v>42</v>
      </c>
      <c r="O117" s="80" t="s">
        <v>1192</v>
      </c>
      <c r="P117" s="81">
        <v>35916</v>
      </c>
      <c r="Q117" s="80" t="s">
        <v>336</v>
      </c>
      <c r="R117" s="81"/>
      <c r="S117" s="81">
        <v>44254</v>
      </c>
      <c r="T117" s="81"/>
      <c r="U117" s="81"/>
      <c r="V117" s="76"/>
      <c r="W117" s="76"/>
      <c r="X117" s="5" t="s">
        <v>894</v>
      </c>
      <c r="Y117" s="5"/>
      <c r="Z117" s="76" t="s">
        <v>899</v>
      </c>
      <c r="AA117" s="82" t="s">
        <v>36</v>
      </c>
      <c r="AB117" s="83" t="s">
        <v>37</v>
      </c>
      <c r="AC117" s="84"/>
      <c r="AD117" s="76"/>
      <c r="AE117" s="76"/>
      <c r="AF117" s="76"/>
      <c r="AG117" s="84"/>
      <c r="AH117" s="76"/>
      <c r="AI117" s="76"/>
      <c r="AJ117" s="76"/>
      <c r="AK117" s="84"/>
      <c r="AL117" s="84"/>
      <c r="AM117" s="84"/>
      <c r="AN117" s="84"/>
      <c r="AO117" s="84"/>
    </row>
    <row r="118" spans="1:41" s="1" customFormat="1" ht="45" customHeight="1" x14ac:dyDescent="0.2">
      <c r="A118" s="75">
        <v>100</v>
      </c>
      <c r="B118" s="75"/>
      <c r="C118" s="76" t="s">
        <v>122</v>
      </c>
      <c r="D118" s="76" t="s">
        <v>1193</v>
      </c>
      <c r="E118" s="75" t="s">
        <v>1194</v>
      </c>
      <c r="F118" s="75" t="e">
        <f t="shared" si="17"/>
        <v>#VALUE!</v>
      </c>
      <c r="G118" s="85">
        <v>0.67500000000000004</v>
      </c>
      <c r="H118" s="78" t="e">
        <f t="shared" si="14"/>
        <v>#VALUE!</v>
      </c>
      <c r="I118" s="78" t="e">
        <f t="shared" si="15"/>
        <v>#VALUE!</v>
      </c>
      <c r="J118" s="75"/>
      <c r="K118" s="79">
        <f>31510.27</f>
        <v>31510.27</v>
      </c>
      <c r="L118" s="79">
        <f t="shared" si="16"/>
        <v>21269.432250000002</v>
      </c>
      <c r="M118" s="76"/>
      <c r="N118" s="75" t="s">
        <v>42</v>
      </c>
      <c r="O118" s="80" t="s">
        <v>1195</v>
      </c>
      <c r="P118" s="81">
        <v>36861</v>
      </c>
      <c r="Q118" s="80" t="s">
        <v>1961</v>
      </c>
      <c r="R118" s="81"/>
      <c r="S118" s="81">
        <v>43888</v>
      </c>
      <c r="T118" s="81"/>
      <c r="U118" s="81"/>
      <c r="V118" s="76"/>
      <c r="W118" s="76"/>
      <c r="X118" s="5" t="s">
        <v>894</v>
      </c>
      <c r="Y118" s="5"/>
      <c r="Z118" s="76" t="s">
        <v>899</v>
      </c>
      <c r="AA118" s="82" t="s">
        <v>36</v>
      </c>
      <c r="AB118" s="83" t="s">
        <v>37</v>
      </c>
      <c r="AC118" s="84"/>
      <c r="AD118" s="76"/>
      <c r="AE118" s="76"/>
      <c r="AF118" s="76"/>
      <c r="AG118" s="84"/>
      <c r="AH118" s="76"/>
      <c r="AI118" s="76"/>
      <c r="AJ118" s="76"/>
      <c r="AK118" s="84"/>
      <c r="AL118" s="84"/>
      <c r="AM118" s="84"/>
      <c r="AN118" s="84"/>
      <c r="AO118" s="84"/>
    </row>
    <row r="119" spans="1:41" s="1" customFormat="1" ht="45" customHeight="1" x14ac:dyDescent="0.2">
      <c r="A119" s="75">
        <v>101</v>
      </c>
      <c r="B119" s="75"/>
      <c r="C119" s="76" t="s">
        <v>122</v>
      </c>
      <c r="D119" s="76" t="s">
        <v>1196</v>
      </c>
      <c r="E119" s="75" t="s">
        <v>1197</v>
      </c>
      <c r="F119" s="75" t="e">
        <f t="shared" si="17"/>
        <v>#VALUE!</v>
      </c>
      <c r="G119" s="85">
        <v>0.72499999999999998</v>
      </c>
      <c r="H119" s="78" t="e">
        <f t="shared" si="14"/>
        <v>#VALUE!</v>
      </c>
      <c r="I119" s="78" t="e">
        <f t="shared" si="15"/>
        <v>#VALUE!</v>
      </c>
      <c r="J119" s="75"/>
      <c r="K119" s="79">
        <f>32541.78</f>
        <v>32541.78</v>
      </c>
      <c r="L119" s="79">
        <f t="shared" si="16"/>
        <v>23592.790499999999</v>
      </c>
      <c r="M119" s="76"/>
      <c r="N119" s="75" t="s">
        <v>42</v>
      </c>
      <c r="O119" s="80" t="s">
        <v>1198</v>
      </c>
      <c r="P119" s="81">
        <v>39204</v>
      </c>
      <c r="Q119" s="80" t="s">
        <v>1960</v>
      </c>
      <c r="R119" s="81"/>
      <c r="S119" s="81">
        <v>42430</v>
      </c>
      <c r="T119" s="81">
        <v>32356</v>
      </c>
      <c r="U119" s="81">
        <v>33112</v>
      </c>
      <c r="V119" s="76">
        <v>35339</v>
      </c>
      <c r="W119" s="76">
        <v>37680</v>
      </c>
      <c r="X119" s="5" t="s">
        <v>894</v>
      </c>
      <c r="Y119" s="5"/>
      <c r="Z119" s="76" t="s">
        <v>899</v>
      </c>
      <c r="AA119" s="82" t="s">
        <v>36</v>
      </c>
      <c r="AB119" s="83" t="s">
        <v>37</v>
      </c>
      <c r="AC119" s="84"/>
      <c r="AD119" s="76">
        <v>1</v>
      </c>
      <c r="AE119" s="76">
        <v>2</v>
      </c>
      <c r="AF119" s="76"/>
      <c r="AG119" s="84"/>
      <c r="AH119" s="76"/>
      <c r="AI119" s="76">
        <v>12</v>
      </c>
      <c r="AJ119" s="76">
        <v>62</v>
      </c>
      <c r="AK119" s="84"/>
      <c r="AL119" s="84"/>
      <c r="AM119" s="84"/>
      <c r="AN119" s="84"/>
      <c r="AO119" s="84"/>
    </row>
    <row r="120" spans="1:41" s="1" customFormat="1" ht="45" customHeight="1" x14ac:dyDescent="0.2">
      <c r="A120" s="75">
        <v>102</v>
      </c>
      <c r="B120" s="75"/>
      <c r="C120" s="76" t="s">
        <v>122</v>
      </c>
      <c r="D120" s="76" t="s">
        <v>1199</v>
      </c>
      <c r="E120" s="75" t="s">
        <v>1200</v>
      </c>
      <c r="F120" s="75" t="e">
        <f t="shared" si="17"/>
        <v>#VALUE!</v>
      </c>
      <c r="G120" s="85">
        <v>0.77500000000000002</v>
      </c>
      <c r="H120" s="78" t="e">
        <f t="shared" si="14"/>
        <v>#VALUE!</v>
      </c>
      <c r="I120" s="78" t="e">
        <f t="shared" si="15"/>
        <v>#VALUE!</v>
      </c>
      <c r="J120" s="75"/>
      <c r="K120" s="79">
        <v>32541.78</v>
      </c>
      <c r="L120" s="79">
        <f t="shared" si="16"/>
        <v>25219.879499999999</v>
      </c>
      <c r="M120" s="76"/>
      <c r="N120" s="75" t="s">
        <v>42</v>
      </c>
      <c r="O120" s="80" t="s">
        <v>1201</v>
      </c>
      <c r="P120" s="81">
        <v>35674</v>
      </c>
      <c r="Q120" s="80" t="s">
        <v>336</v>
      </c>
      <c r="R120" s="81"/>
      <c r="S120" s="81">
        <v>42430</v>
      </c>
      <c r="T120" s="81"/>
      <c r="U120" s="81"/>
      <c r="V120" s="76"/>
      <c r="W120" s="76"/>
      <c r="X120" s="5"/>
      <c r="Y120" s="5" t="s">
        <v>35</v>
      </c>
      <c r="Z120" s="76" t="s">
        <v>35</v>
      </c>
      <c r="AA120" s="82" t="s">
        <v>36</v>
      </c>
      <c r="AB120" s="83" t="s">
        <v>37</v>
      </c>
      <c r="AC120" s="84"/>
      <c r="AD120" s="76"/>
      <c r="AE120" s="76"/>
      <c r="AF120" s="76"/>
      <c r="AG120" s="84"/>
      <c r="AH120" s="76"/>
      <c r="AI120" s="76"/>
      <c r="AJ120" s="76"/>
      <c r="AK120" s="84"/>
      <c r="AL120" s="84"/>
      <c r="AM120" s="84"/>
      <c r="AN120" s="84"/>
      <c r="AO120" s="84"/>
    </row>
    <row r="121" spans="1:41" s="1" customFormat="1" ht="45" customHeight="1" x14ac:dyDescent="0.2">
      <c r="A121" s="75">
        <v>103</v>
      </c>
      <c r="B121" s="75"/>
      <c r="C121" s="76" t="s">
        <v>122</v>
      </c>
      <c r="D121" s="76" t="s">
        <v>1202</v>
      </c>
      <c r="E121" s="75" t="s">
        <v>1203</v>
      </c>
      <c r="F121" s="75" t="e">
        <f t="shared" si="17"/>
        <v>#VALUE!</v>
      </c>
      <c r="G121" s="85">
        <v>0.77500000000000002</v>
      </c>
      <c r="H121" s="78" t="e">
        <f t="shared" si="14"/>
        <v>#VALUE!</v>
      </c>
      <c r="I121" s="78" t="e">
        <f t="shared" si="15"/>
        <v>#VALUE!</v>
      </c>
      <c r="J121" s="75"/>
      <c r="K121" s="79">
        <v>31510.28</v>
      </c>
      <c r="L121" s="79">
        <f t="shared" si="16"/>
        <v>24420.467000000001</v>
      </c>
      <c r="M121" s="76"/>
      <c r="N121" s="75" t="s">
        <v>42</v>
      </c>
      <c r="O121" s="80" t="s">
        <v>1204</v>
      </c>
      <c r="P121" s="81">
        <v>36800</v>
      </c>
      <c r="Q121" s="80" t="s">
        <v>336</v>
      </c>
      <c r="R121" s="81"/>
      <c r="S121" s="81">
        <v>43888</v>
      </c>
      <c r="T121" s="81">
        <v>32387</v>
      </c>
      <c r="U121" s="81">
        <v>33848</v>
      </c>
      <c r="V121" s="76"/>
      <c r="W121" s="76"/>
      <c r="X121" s="5"/>
      <c r="Y121" s="5"/>
      <c r="Z121" s="76" t="s">
        <v>1032</v>
      </c>
      <c r="AA121" s="82" t="s">
        <v>36</v>
      </c>
      <c r="AB121" s="83" t="s">
        <v>37</v>
      </c>
      <c r="AC121" s="84"/>
      <c r="AD121" s="76"/>
      <c r="AE121" s="76"/>
      <c r="AF121" s="76"/>
      <c r="AG121" s="84"/>
      <c r="AH121" s="76"/>
      <c r="AI121" s="76"/>
      <c r="AJ121" s="76"/>
      <c r="AK121" s="84"/>
      <c r="AL121" s="84"/>
      <c r="AM121" s="84"/>
      <c r="AN121" s="84"/>
      <c r="AO121" s="84"/>
    </row>
    <row r="122" spans="1:41" s="1" customFormat="1" ht="45" customHeight="1" x14ac:dyDescent="0.2">
      <c r="A122" s="75">
        <v>104</v>
      </c>
      <c r="B122" s="75"/>
      <c r="C122" s="76" t="s">
        <v>122</v>
      </c>
      <c r="D122" s="76" t="s">
        <v>1205</v>
      </c>
      <c r="E122" s="75" t="s">
        <v>1206</v>
      </c>
      <c r="F122" s="75" t="e">
        <f t="shared" si="17"/>
        <v>#VALUE!</v>
      </c>
      <c r="G122" s="77">
        <v>0.91</v>
      </c>
      <c r="H122" s="78" t="e">
        <f t="shared" si="14"/>
        <v>#VALUE!</v>
      </c>
      <c r="I122" s="78" t="e">
        <f t="shared" si="15"/>
        <v>#VALUE!</v>
      </c>
      <c r="J122" s="75"/>
      <c r="K122" s="79">
        <f>32541.78</f>
        <v>32541.78</v>
      </c>
      <c r="L122" s="79">
        <f t="shared" si="16"/>
        <v>29613.019799999998</v>
      </c>
      <c r="M122" s="76"/>
      <c r="N122" s="75"/>
      <c r="O122" s="80"/>
      <c r="P122" s="81">
        <v>33817</v>
      </c>
      <c r="Q122" s="80" t="s">
        <v>336</v>
      </c>
      <c r="R122" s="81"/>
      <c r="S122" s="81">
        <v>42062</v>
      </c>
      <c r="T122" s="81"/>
      <c r="U122" s="81"/>
      <c r="V122" s="76"/>
      <c r="W122" s="76"/>
      <c r="X122" s="5"/>
      <c r="Y122" s="5"/>
      <c r="Z122" s="76" t="s">
        <v>1032</v>
      </c>
      <c r="AA122" s="82" t="s">
        <v>36</v>
      </c>
      <c r="AB122" s="76"/>
      <c r="AC122" s="84"/>
      <c r="AD122" s="76"/>
      <c r="AE122" s="76"/>
      <c r="AF122" s="76"/>
      <c r="AG122" s="84"/>
      <c r="AH122" s="76"/>
      <c r="AI122" s="76"/>
      <c r="AJ122" s="76"/>
      <c r="AK122" s="84"/>
      <c r="AL122" s="84"/>
      <c r="AM122" s="84"/>
      <c r="AN122" s="84"/>
      <c r="AO122" s="84"/>
    </row>
    <row r="123" spans="1:41" s="1" customFormat="1" ht="45" customHeight="1" x14ac:dyDescent="0.2">
      <c r="A123" s="75">
        <v>105</v>
      </c>
      <c r="B123" s="75"/>
      <c r="C123" s="76" t="s">
        <v>122</v>
      </c>
      <c r="D123" s="76" t="s">
        <v>1207</v>
      </c>
      <c r="E123" s="75" t="s">
        <v>1208</v>
      </c>
      <c r="F123" s="75" t="e">
        <f t="shared" si="17"/>
        <v>#VALUE!</v>
      </c>
      <c r="G123" s="77">
        <v>0.6</v>
      </c>
      <c r="H123" s="78" t="e">
        <f t="shared" si="14"/>
        <v>#VALUE!</v>
      </c>
      <c r="I123" s="78" t="e">
        <f t="shared" si="15"/>
        <v>#VALUE!</v>
      </c>
      <c r="J123" s="75"/>
      <c r="K123" s="79">
        <f>31510.27</f>
        <v>31510.27</v>
      </c>
      <c r="L123" s="79">
        <f t="shared" si="16"/>
        <v>18906.162</v>
      </c>
      <c r="M123" s="76"/>
      <c r="N123" s="75" t="s">
        <v>42</v>
      </c>
      <c r="O123" s="80" t="s">
        <v>1209</v>
      </c>
      <c r="P123" s="81">
        <v>31594</v>
      </c>
      <c r="Q123" s="80" t="s">
        <v>336</v>
      </c>
      <c r="R123" s="81"/>
      <c r="S123" s="81">
        <v>44619</v>
      </c>
      <c r="T123" s="81"/>
      <c r="U123" s="81"/>
      <c r="V123" s="76"/>
      <c r="W123" s="76"/>
      <c r="X123" s="87" t="s">
        <v>1210</v>
      </c>
      <c r="Y123" s="5"/>
      <c r="Z123" s="76" t="s">
        <v>35</v>
      </c>
      <c r="AA123" s="82" t="s">
        <v>36</v>
      </c>
      <c r="AB123" s="83" t="s">
        <v>37</v>
      </c>
      <c r="AC123" s="84"/>
      <c r="AD123" s="76"/>
      <c r="AE123" s="76"/>
      <c r="AF123" s="76"/>
      <c r="AG123" s="84"/>
      <c r="AH123" s="76"/>
      <c r="AI123" s="76"/>
      <c r="AJ123" s="76"/>
      <c r="AK123" s="84"/>
      <c r="AL123" s="84"/>
      <c r="AM123" s="84"/>
      <c r="AN123" s="84"/>
      <c r="AO123" s="84"/>
    </row>
    <row r="124" spans="1:41" s="1" customFormat="1" ht="45" customHeight="1" x14ac:dyDescent="0.2">
      <c r="A124" s="75">
        <v>106</v>
      </c>
      <c r="B124" s="75"/>
      <c r="C124" s="76" t="s">
        <v>122</v>
      </c>
      <c r="D124" s="76" t="s">
        <v>1211</v>
      </c>
      <c r="E124" s="75" t="s">
        <v>1212</v>
      </c>
      <c r="F124" s="75" t="e">
        <f t="shared" si="17"/>
        <v>#VALUE!</v>
      </c>
      <c r="G124" s="77">
        <v>0.75</v>
      </c>
      <c r="H124" s="78" t="e">
        <f t="shared" si="14"/>
        <v>#VALUE!</v>
      </c>
      <c r="I124" s="78" t="e">
        <f t="shared" si="15"/>
        <v>#VALUE!</v>
      </c>
      <c r="J124" s="75"/>
      <c r="K124" s="79">
        <f>31510.28</f>
        <v>31510.28</v>
      </c>
      <c r="L124" s="79">
        <f t="shared" si="16"/>
        <v>23632.71</v>
      </c>
      <c r="M124" s="76"/>
      <c r="N124" s="75" t="s">
        <v>42</v>
      </c>
      <c r="O124" s="80" t="s">
        <v>1213</v>
      </c>
      <c r="P124" s="81">
        <v>35886</v>
      </c>
      <c r="Q124" s="80" t="s">
        <v>336</v>
      </c>
      <c r="R124" s="81"/>
      <c r="S124" s="81">
        <v>43888</v>
      </c>
      <c r="T124" s="81"/>
      <c r="U124" s="81"/>
      <c r="V124" s="76"/>
      <c r="W124" s="76"/>
      <c r="X124" s="5"/>
      <c r="Y124" s="5" t="s">
        <v>35</v>
      </c>
      <c r="Z124" s="76" t="s">
        <v>35</v>
      </c>
      <c r="AA124" s="82" t="s">
        <v>36</v>
      </c>
      <c r="AB124" s="83" t="s">
        <v>37</v>
      </c>
      <c r="AC124" s="84"/>
      <c r="AD124" s="76"/>
      <c r="AE124" s="76"/>
      <c r="AF124" s="76"/>
      <c r="AG124" s="84"/>
      <c r="AH124" s="76"/>
      <c r="AI124" s="76"/>
      <c r="AJ124" s="76"/>
      <c r="AK124" s="84"/>
      <c r="AL124" s="84"/>
      <c r="AM124" s="84"/>
      <c r="AN124" s="84"/>
      <c r="AO124" s="84"/>
    </row>
    <row r="125" spans="1:41" s="1" customFormat="1" ht="45" customHeight="1" x14ac:dyDescent="0.2">
      <c r="A125" s="75">
        <v>107</v>
      </c>
      <c r="B125" s="75"/>
      <c r="C125" s="76" t="s">
        <v>122</v>
      </c>
      <c r="D125" s="76" t="s">
        <v>1214</v>
      </c>
      <c r="E125" s="75" t="s">
        <v>1215</v>
      </c>
      <c r="F125" s="75" t="e">
        <f t="shared" si="17"/>
        <v>#VALUE!</v>
      </c>
      <c r="G125" s="77">
        <v>0.8</v>
      </c>
      <c r="H125" s="78" t="e">
        <f t="shared" si="14"/>
        <v>#VALUE!</v>
      </c>
      <c r="I125" s="78" t="e">
        <f t="shared" si="15"/>
        <v>#VALUE!</v>
      </c>
      <c r="J125" s="75"/>
      <c r="K125" s="79">
        <f>31510.28</f>
        <v>31510.28</v>
      </c>
      <c r="L125" s="79">
        <f t="shared" si="16"/>
        <v>25208.224000000002</v>
      </c>
      <c r="M125" s="76"/>
      <c r="N125" s="75" t="s">
        <v>42</v>
      </c>
      <c r="O125" s="80" t="s">
        <v>1216</v>
      </c>
      <c r="P125" s="81">
        <v>35004</v>
      </c>
      <c r="Q125" s="80" t="s">
        <v>336</v>
      </c>
      <c r="R125" s="81"/>
      <c r="S125" s="81">
        <v>44619</v>
      </c>
      <c r="T125" s="81"/>
      <c r="U125" s="81"/>
      <c r="V125" s="76"/>
      <c r="W125" s="76"/>
      <c r="X125" s="5"/>
      <c r="Y125" s="5" t="s">
        <v>35</v>
      </c>
      <c r="Z125" s="76" t="s">
        <v>35</v>
      </c>
      <c r="AA125" s="82" t="s">
        <v>36</v>
      </c>
      <c r="AB125" s="83" t="s">
        <v>37</v>
      </c>
      <c r="AC125" s="84"/>
      <c r="AD125" s="76"/>
      <c r="AE125" s="76"/>
      <c r="AF125" s="76"/>
      <c r="AG125" s="84"/>
      <c r="AH125" s="76"/>
      <c r="AI125" s="76"/>
      <c r="AJ125" s="76"/>
      <c r="AK125" s="84"/>
      <c r="AL125" s="84"/>
      <c r="AM125" s="84"/>
      <c r="AN125" s="84"/>
      <c r="AO125" s="84"/>
    </row>
    <row r="126" spans="1:41" s="1" customFormat="1" ht="45" customHeight="1" x14ac:dyDescent="0.2">
      <c r="A126" s="75">
        <v>108</v>
      </c>
      <c r="B126" s="75"/>
      <c r="C126" s="76" t="s">
        <v>122</v>
      </c>
      <c r="D126" s="76" t="s">
        <v>1217</v>
      </c>
      <c r="E126" s="75" t="s">
        <v>1218</v>
      </c>
      <c r="F126" s="75" t="e">
        <f t="shared" si="17"/>
        <v>#VALUE!</v>
      </c>
      <c r="G126" s="77">
        <v>0.85</v>
      </c>
      <c r="H126" s="78" t="e">
        <f t="shared" si="14"/>
        <v>#VALUE!</v>
      </c>
      <c r="I126" s="78" t="e">
        <f t="shared" si="15"/>
        <v>#VALUE!</v>
      </c>
      <c r="J126" s="75"/>
      <c r="K126" s="79">
        <v>32541.78</v>
      </c>
      <c r="L126" s="79">
        <f t="shared" si="16"/>
        <v>27660.512999999999</v>
      </c>
      <c r="M126" s="76"/>
      <c r="N126" s="75" t="s">
        <v>42</v>
      </c>
      <c r="O126" s="80" t="s">
        <v>1219</v>
      </c>
      <c r="P126" s="81">
        <v>34394</v>
      </c>
      <c r="Q126" s="80" t="s">
        <v>336</v>
      </c>
      <c r="R126" s="81"/>
      <c r="S126" s="81">
        <v>42062</v>
      </c>
      <c r="T126" s="81"/>
      <c r="U126" s="81"/>
      <c r="V126" s="76"/>
      <c r="W126" s="76"/>
      <c r="X126" s="5"/>
      <c r="Y126" s="5"/>
      <c r="Z126" s="76" t="s">
        <v>1032</v>
      </c>
      <c r="AA126" s="82" t="s">
        <v>36</v>
      </c>
      <c r="AB126" s="83" t="s">
        <v>37</v>
      </c>
      <c r="AC126" s="84"/>
      <c r="AD126" s="76"/>
      <c r="AE126" s="76"/>
      <c r="AF126" s="76"/>
      <c r="AG126" s="84"/>
      <c r="AH126" s="76"/>
      <c r="AI126" s="76"/>
      <c r="AJ126" s="76"/>
      <c r="AK126" s="84"/>
      <c r="AL126" s="84"/>
      <c r="AM126" s="84"/>
      <c r="AN126" s="84"/>
      <c r="AO126" s="84"/>
    </row>
    <row r="127" spans="1:41" s="1" customFormat="1" ht="45" customHeight="1" x14ac:dyDescent="0.2">
      <c r="A127" s="75">
        <v>109</v>
      </c>
      <c r="B127" s="75"/>
      <c r="C127" s="76" t="s">
        <v>122</v>
      </c>
      <c r="D127" s="76" t="s">
        <v>1220</v>
      </c>
      <c r="E127" s="75" t="s">
        <v>1221</v>
      </c>
      <c r="F127" s="75" t="e">
        <f t="shared" si="17"/>
        <v>#VALUE!</v>
      </c>
      <c r="G127" s="85">
        <v>0.625</v>
      </c>
      <c r="H127" s="78" t="e">
        <f t="shared" si="14"/>
        <v>#VALUE!</v>
      </c>
      <c r="I127" s="78" t="e">
        <f t="shared" si="15"/>
        <v>#VALUE!</v>
      </c>
      <c r="J127" s="75" t="s">
        <v>13</v>
      </c>
      <c r="K127" s="79">
        <f>32541.78</f>
        <v>32541.78</v>
      </c>
      <c r="L127" s="79">
        <f t="shared" si="16"/>
        <v>20338.612499999999</v>
      </c>
      <c r="M127" s="76"/>
      <c r="N127" s="75" t="s">
        <v>42</v>
      </c>
      <c r="O127" s="80" t="s">
        <v>1222</v>
      </c>
      <c r="P127" s="81">
        <v>37834</v>
      </c>
      <c r="Q127" s="80" t="s">
        <v>336</v>
      </c>
      <c r="R127" s="81"/>
      <c r="S127" s="81">
        <v>40603</v>
      </c>
      <c r="T127" s="81"/>
      <c r="U127" s="81"/>
      <c r="V127" s="76"/>
      <c r="W127" s="76"/>
      <c r="X127" s="5"/>
      <c r="Y127" s="5" t="s">
        <v>35</v>
      </c>
      <c r="Z127" s="76" t="s">
        <v>35</v>
      </c>
      <c r="AA127" s="82" t="s">
        <v>36</v>
      </c>
      <c r="AB127" s="83" t="s">
        <v>37</v>
      </c>
      <c r="AC127" s="84"/>
      <c r="AD127" s="76"/>
      <c r="AE127" s="76"/>
      <c r="AF127" s="76"/>
      <c r="AG127" s="84"/>
      <c r="AH127" s="76"/>
      <c r="AI127" s="76"/>
      <c r="AJ127" s="76"/>
      <c r="AK127" s="84"/>
      <c r="AL127" s="84"/>
      <c r="AM127" s="84"/>
      <c r="AN127" s="84"/>
      <c r="AO127" s="84"/>
    </row>
    <row r="128" spans="1:41" s="1" customFormat="1" ht="45" customHeight="1" x14ac:dyDescent="0.2">
      <c r="A128" s="75">
        <v>110</v>
      </c>
      <c r="B128" s="75"/>
      <c r="C128" s="76" t="s">
        <v>122</v>
      </c>
      <c r="D128" s="76" t="s">
        <v>1223</v>
      </c>
      <c r="E128" s="75" t="s">
        <v>1224</v>
      </c>
      <c r="F128" s="75" t="e">
        <f t="shared" si="17"/>
        <v>#VALUE!</v>
      </c>
      <c r="G128" s="85">
        <v>0.82499999999999996</v>
      </c>
      <c r="H128" s="78" t="e">
        <f t="shared" si="14"/>
        <v>#VALUE!</v>
      </c>
      <c r="I128" s="78" t="e">
        <f t="shared" si="15"/>
        <v>#VALUE!</v>
      </c>
      <c r="J128" s="75"/>
      <c r="K128" s="79">
        <v>32541.77</v>
      </c>
      <c r="L128" s="79">
        <f t="shared" si="16"/>
        <v>26846.96025</v>
      </c>
      <c r="M128" s="76"/>
      <c r="N128" s="75" t="s">
        <v>42</v>
      </c>
      <c r="O128" s="80" t="s">
        <v>1225</v>
      </c>
      <c r="P128" s="81">
        <v>34608</v>
      </c>
      <c r="Q128" s="80" t="s">
        <v>336</v>
      </c>
      <c r="R128" s="81"/>
      <c r="S128" s="81">
        <v>42795</v>
      </c>
      <c r="T128" s="81"/>
      <c r="U128" s="81"/>
      <c r="V128" s="76"/>
      <c r="W128" s="76"/>
      <c r="X128" s="5"/>
      <c r="Y128" s="5" t="s">
        <v>35</v>
      </c>
      <c r="Z128" s="76" t="s">
        <v>35</v>
      </c>
      <c r="AA128" s="82" t="s">
        <v>36</v>
      </c>
      <c r="AB128" s="83" t="s">
        <v>37</v>
      </c>
      <c r="AC128" s="84"/>
      <c r="AD128" s="76"/>
      <c r="AE128" s="76"/>
      <c r="AF128" s="76"/>
      <c r="AG128" s="84"/>
      <c r="AH128" s="76"/>
      <c r="AI128" s="76"/>
      <c r="AJ128" s="76"/>
      <c r="AK128" s="84"/>
      <c r="AL128" s="84"/>
      <c r="AM128" s="84"/>
      <c r="AN128" s="84"/>
      <c r="AO128" s="84"/>
    </row>
    <row r="129" spans="1:41" s="1" customFormat="1" ht="45" customHeight="1" x14ac:dyDescent="0.2">
      <c r="A129" s="75">
        <v>111</v>
      </c>
      <c r="B129" s="75"/>
      <c r="C129" s="76" t="s">
        <v>122</v>
      </c>
      <c r="D129" s="76" t="s">
        <v>1226</v>
      </c>
      <c r="E129" s="75" t="s">
        <v>1227</v>
      </c>
      <c r="F129" s="75" t="e">
        <f t="shared" si="17"/>
        <v>#VALUE!</v>
      </c>
      <c r="G129" s="77">
        <v>0.7</v>
      </c>
      <c r="H129" s="78" t="e">
        <f t="shared" si="14"/>
        <v>#VALUE!</v>
      </c>
      <c r="I129" s="78" t="e">
        <f t="shared" si="15"/>
        <v>#VALUE!</v>
      </c>
      <c r="J129" s="75"/>
      <c r="K129" s="79">
        <v>31510.27</v>
      </c>
      <c r="L129" s="79">
        <f t="shared" si="16"/>
        <v>22057.188999999998</v>
      </c>
      <c r="M129" s="76"/>
      <c r="N129" s="75" t="s">
        <v>42</v>
      </c>
      <c r="O129" s="80" t="s">
        <v>1228</v>
      </c>
      <c r="P129" s="81">
        <v>37544</v>
      </c>
      <c r="Q129" s="80" t="s">
        <v>336</v>
      </c>
      <c r="R129" s="81"/>
      <c r="S129" s="81">
        <v>43888</v>
      </c>
      <c r="T129" s="81">
        <v>36100</v>
      </c>
      <c r="U129" s="81">
        <v>37004</v>
      </c>
      <c r="V129" s="76"/>
      <c r="W129" s="76"/>
      <c r="X129" s="5"/>
      <c r="Y129" s="5" t="s">
        <v>35</v>
      </c>
      <c r="Z129" s="76" t="s">
        <v>35</v>
      </c>
      <c r="AA129" s="82" t="s">
        <v>36</v>
      </c>
      <c r="AB129" s="83" t="s">
        <v>37</v>
      </c>
      <c r="AC129" s="84"/>
      <c r="AD129" s="76"/>
      <c r="AE129" s="76">
        <v>1</v>
      </c>
      <c r="AF129" s="76"/>
      <c r="AG129" s="84"/>
      <c r="AH129" s="76"/>
      <c r="AI129" s="76"/>
      <c r="AJ129" s="76">
        <v>30</v>
      </c>
      <c r="AK129" s="84"/>
      <c r="AL129" s="84"/>
      <c r="AM129" s="84"/>
      <c r="AN129" s="84"/>
      <c r="AO129" s="84"/>
    </row>
    <row r="130" spans="1:41" s="1" customFormat="1" ht="45" customHeight="1" x14ac:dyDescent="0.2">
      <c r="A130" s="75">
        <v>112</v>
      </c>
      <c r="B130" s="75"/>
      <c r="C130" s="76" t="s">
        <v>122</v>
      </c>
      <c r="D130" s="76" t="s">
        <v>1229</v>
      </c>
      <c r="E130" s="75" t="s">
        <v>1230</v>
      </c>
      <c r="F130" s="75" t="e">
        <f t="shared" si="17"/>
        <v>#VALUE!</v>
      </c>
      <c r="G130" s="85">
        <v>0.72499999999999998</v>
      </c>
      <c r="H130" s="78" t="e">
        <f t="shared" si="14"/>
        <v>#VALUE!</v>
      </c>
      <c r="I130" s="78" t="e">
        <f t="shared" si="15"/>
        <v>#VALUE!</v>
      </c>
      <c r="J130" s="75"/>
      <c r="K130" s="79">
        <v>32541.78</v>
      </c>
      <c r="L130" s="79">
        <f t="shared" si="16"/>
        <v>23592.790499999999</v>
      </c>
      <c r="M130" s="76"/>
      <c r="N130" s="75" t="s">
        <v>42</v>
      </c>
      <c r="O130" s="80" t="s">
        <v>1231</v>
      </c>
      <c r="P130" s="81">
        <v>36917</v>
      </c>
      <c r="Q130" s="80" t="s">
        <v>336</v>
      </c>
      <c r="R130" s="81"/>
      <c r="S130" s="81">
        <v>43525</v>
      </c>
      <c r="T130" s="81">
        <v>35977</v>
      </c>
      <c r="U130" s="81">
        <v>36752</v>
      </c>
      <c r="V130" s="76"/>
      <c r="W130" s="76"/>
      <c r="X130" s="5"/>
      <c r="Y130" s="5" t="s">
        <v>35</v>
      </c>
      <c r="Z130" s="76" t="s">
        <v>35</v>
      </c>
      <c r="AA130" s="82" t="s">
        <v>36</v>
      </c>
      <c r="AB130" s="83" t="s">
        <v>37</v>
      </c>
      <c r="AC130" s="84"/>
      <c r="AD130" s="76"/>
      <c r="AE130" s="76"/>
      <c r="AF130" s="76"/>
      <c r="AG130" s="84"/>
      <c r="AH130" s="76"/>
      <c r="AI130" s="76"/>
      <c r="AJ130" s="76"/>
      <c r="AK130" s="84"/>
      <c r="AL130" s="84"/>
      <c r="AM130" s="84"/>
      <c r="AN130" s="84"/>
      <c r="AO130" s="84"/>
    </row>
    <row r="131" spans="1:41" s="1" customFormat="1" ht="45" customHeight="1" x14ac:dyDescent="0.2">
      <c r="A131" s="75">
        <v>113</v>
      </c>
      <c r="B131" s="75"/>
      <c r="C131" s="76" t="s">
        <v>122</v>
      </c>
      <c r="D131" s="76" t="s">
        <v>1232</v>
      </c>
      <c r="E131" s="75" t="s">
        <v>1233</v>
      </c>
      <c r="F131" s="75" t="e">
        <f t="shared" si="17"/>
        <v>#VALUE!</v>
      </c>
      <c r="G131" s="77">
        <v>0.8</v>
      </c>
      <c r="H131" s="78" t="e">
        <f t="shared" si="14"/>
        <v>#VALUE!</v>
      </c>
      <c r="I131" s="78" t="e">
        <f t="shared" si="15"/>
        <v>#VALUE!</v>
      </c>
      <c r="J131" s="75"/>
      <c r="K131" s="79">
        <v>32541.78</v>
      </c>
      <c r="L131" s="79">
        <f t="shared" si="16"/>
        <v>26033.423999999999</v>
      </c>
      <c r="M131" s="76"/>
      <c r="N131" s="75" t="s">
        <v>42</v>
      </c>
      <c r="O131" s="80" t="s">
        <v>1234</v>
      </c>
      <c r="P131" s="81">
        <v>35309</v>
      </c>
      <c r="Q131" s="80" t="s">
        <v>336</v>
      </c>
      <c r="R131" s="81"/>
      <c r="S131" s="81">
        <v>43158</v>
      </c>
      <c r="T131" s="81"/>
      <c r="U131" s="81"/>
      <c r="V131" s="76"/>
      <c r="W131" s="76"/>
      <c r="X131" s="5"/>
      <c r="Y131" s="5" t="s">
        <v>35</v>
      </c>
      <c r="Z131" s="76" t="s">
        <v>35</v>
      </c>
      <c r="AA131" s="82" t="s">
        <v>36</v>
      </c>
      <c r="AB131" s="83" t="s">
        <v>37</v>
      </c>
      <c r="AC131" s="84"/>
      <c r="AD131" s="76"/>
      <c r="AE131" s="76"/>
      <c r="AF131" s="76"/>
      <c r="AG131" s="84"/>
      <c r="AH131" s="76"/>
      <c r="AI131" s="76"/>
      <c r="AJ131" s="76"/>
      <c r="AK131" s="84"/>
      <c r="AL131" s="84"/>
      <c r="AM131" s="84"/>
      <c r="AN131" s="84"/>
      <c r="AO131" s="84"/>
    </row>
    <row r="132" spans="1:41" s="1" customFormat="1" ht="45" customHeight="1" x14ac:dyDescent="0.2">
      <c r="A132" s="75">
        <v>114</v>
      </c>
      <c r="B132" s="75"/>
      <c r="C132" s="76" t="s">
        <v>122</v>
      </c>
      <c r="D132" s="76" t="s">
        <v>1235</v>
      </c>
      <c r="E132" s="75" t="s">
        <v>1236</v>
      </c>
      <c r="F132" s="75" t="e">
        <f t="shared" si="17"/>
        <v>#VALUE!</v>
      </c>
      <c r="G132" s="77">
        <v>0.65</v>
      </c>
      <c r="H132" s="78" t="e">
        <f t="shared" si="14"/>
        <v>#VALUE!</v>
      </c>
      <c r="I132" s="78" t="e">
        <f t="shared" si="15"/>
        <v>#VALUE!</v>
      </c>
      <c r="J132" s="75"/>
      <c r="K132" s="79">
        <v>32541.77</v>
      </c>
      <c r="L132" s="79">
        <f t="shared" si="16"/>
        <v>21152.1505</v>
      </c>
      <c r="M132" s="76"/>
      <c r="N132" s="75" t="s">
        <v>42</v>
      </c>
      <c r="O132" s="80" t="s">
        <v>1237</v>
      </c>
      <c r="P132" s="81">
        <v>37347</v>
      </c>
      <c r="Q132" s="80" t="s">
        <v>336</v>
      </c>
      <c r="R132" s="81"/>
      <c r="S132" s="81">
        <v>43158</v>
      </c>
      <c r="T132" s="81"/>
      <c r="U132" s="81"/>
      <c r="V132" s="76"/>
      <c r="W132" s="76"/>
      <c r="X132" s="5"/>
      <c r="Y132" s="5" t="s">
        <v>35</v>
      </c>
      <c r="Z132" s="76" t="s">
        <v>35</v>
      </c>
      <c r="AA132" s="82" t="s">
        <v>36</v>
      </c>
      <c r="AB132" s="83" t="s">
        <v>37</v>
      </c>
      <c r="AC132" s="84"/>
      <c r="AD132" s="76"/>
      <c r="AE132" s="76"/>
      <c r="AF132" s="76"/>
      <c r="AG132" s="84"/>
      <c r="AH132" s="76"/>
      <c r="AI132" s="76"/>
      <c r="AJ132" s="76"/>
      <c r="AK132" s="84"/>
      <c r="AL132" s="84"/>
      <c r="AM132" s="84"/>
      <c r="AN132" s="84"/>
      <c r="AO132" s="84"/>
    </row>
    <row r="133" spans="1:41" s="1" customFormat="1" ht="45" customHeight="1" x14ac:dyDescent="0.2">
      <c r="A133" s="75">
        <v>115</v>
      </c>
      <c r="B133" s="75"/>
      <c r="C133" s="76" t="s">
        <v>122</v>
      </c>
      <c r="D133" s="76" t="s">
        <v>1238</v>
      </c>
      <c r="E133" s="75" t="s">
        <v>1239</v>
      </c>
      <c r="F133" s="75" t="e">
        <f t="shared" si="17"/>
        <v>#VALUE!</v>
      </c>
      <c r="G133" s="85">
        <v>0.67500000000000004</v>
      </c>
      <c r="H133" s="78" t="e">
        <f t="shared" si="14"/>
        <v>#VALUE!</v>
      </c>
      <c r="I133" s="78" t="e">
        <f t="shared" si="15"/>
        <v>#VALUE!</v>
      </c>
      <c r="J133" s="75"/>
      <c r="K133" s="79">
        <f>31510.27+8000</f>
        <v>39510.270000000004</v>
      </c>
      <c r="L133" s="79">
        <f t="shared" si="16"/>
        <v>26669.432250000005</v>
      </c>
      <c r="M133" s="76"/>
      <c r="N133" s="75" t="s">
        <v>42</v>
      </c>
      <c r="O133" s="80" t="s">
        <v>1240</v>
      </c>
      <c r="P133" s="81">
        <v>37123</v>
      </c>
      <c r="Q133" s="80" t="s">
        <v>336</v>
      </c>
      <c r="R133" s="81"/>
      <c r="S133" s="81">
        <v>44248</v>
      </c>
      <c r="T133" s="81"/>
      <c r="U133" s="81"/>
      <c r="V133" s="76"/>
      <c r="W133" s="76"/>
      <c r="X133" s="5"/>
      <c r="Y133" s="5" t="s">
        <v>35</v>
      </c>
      <c r="Z133" s="76" t="s">
        <v>35</v>
      </c>
      <c r="AA133" s="82" t="s">
        <v>36</v>
      </c>
      <c r="AB133" s="83" t="s">
        <v>37</v>
      </c>
      <c r="AC133" s="84"/>
      <c r="AD133" s="76"/>
      <c r="AE133" s="76"/>
      <c r="AF133" s="76"/>
      <c r="AG133" s="84"/>
      <c r="AH133" s="76"/>
      <c r="AI133" s="76"/>
      <c r="AJ133" s="76"/>
      <c r="AK133" s="84"/>
      <c r="AL133" s="84"/>
      <c r="AM133" s="84"/>
      <c r="AN133" s="84"/>
      <c r="AO133" s="84"/>
    </row>
    <row r="134" spans="1:41" s="1" customFormat="1" ht="45" customHeight="1" x14ac:dyDescent="0.2">
      <c r="A134" s="75">
        <v>116</v>
      </c>
      <c r="B134" s="75"/>
      <c r="C134" s="76" t="s">
        <v>122</v>
      </c>
      <c r="D134" s="76" t="s">
        <v>1241</v>
      </c>
      <c r="E134" s="75" t="s">
        <v>1242</v>
      </c>
      <c r="F134" s="75" t="e">
        <f t="shared" si="17"/>
        <v>#VALUE!</v>
      </c>
      <c r="G134" s="77">
        <v>1</v>
      </c>
      <c r="H134" s="78" t="e">
        <f t="shared" si="14"/>
        <v>#VALUE!</v>
      </c>
      <c r="I134" s="78" t="e">
        <f t="shared" si="15"/>
        <v>#VALUE!</v>
      </c>
      <c r="J134" s="75"/>
      <c r="K134" s="79">
        <f>31510.28</f>
        <v>31510.28</v>
      </c>
      <c r="L134" s="79">
        <f t="shared" si="16"/>
        <v>31510.28</v>
      </c>
      <c r="M134" s="76"/>
      <c r="N134" s="75" t="s">
        <v>42</v>
      </c>
      <c r="O134" s="80" t="s">
        <v>1243</v>
      </c>
      <c r="P134" s="81">
        <v>30590</v>
      </c>
      <c r="Q134" s="80" t="s">
        <v>1958</v>
      </c>
      <c r="R134" s="81"/>
      <c r="S134" s="81">
        <v>44984</v>
      </c>
      <c r="T134" s="81"/>
      <c r="U134" s="81"/>
      <c r="V134" s="76"/>
      <c r="W134" s="76"/>
      <c r="X134" s="5" t="s">
        <v>1210</v>
      </c>
      <c r="Y134" s="5"/>
      <c r="Z134" s="76" t="s">
        <v>35</v>
      </c>
      <c r="AA134" s="82" t="s">
        <v>36</v>
      </c>
      <c r="AB134" s="83" t="s">
        <v>37</v>
      </c>
      <c r="AC134" s="84"/>
      <c r="AD134" s="76"/>
      <c r="AE134" s="76"/>
      <c r="AF134" s="76"/>
      <c r="AG134" s="84"/>
      <c r="AH134" s="76"/>
      <c r="AI134" s="76"/>
      <c r="AJ134" s="76"/>
      <c r="AK134" s="84"/>
      <c r="AL134" s="84"/>
      <c r="AM134" s="84"/>
      <c r="AN134" s="84"/>
      <c r="AO134" s="84"/>
    </row>
    <row r="135" spans="1:41" s="1" customFormat="1" ht="45" customHeight="1" x14ac:dyDescent="0.2">
      <c r="A135" s="75">
        <v>117</v>
      </c>
      <c r="B135" s="75"/>
      <c r="C135" s="76" t="s">
        <v>122</v>
      </c>
      <c r="D135" s="76" t="s">
        <v>1244</v>
      </c>
      <c r="E135" s="75" t="s">
        <v>1245</v>
      </c>
      <c r="F135" s="75" t="e">
        <f t="shared" si="17"/>
        <v>#VALUE!</v>
      </c>
      <c r="G135" s="77">
        <v>0.75</v>
      </c>
      <c r="H135" s="78" t="e">
        <f t="shared" si="14"/>
        <v>#VALUE!</v>
      </c>
      <c r="I135" s="78" t="e">
        <f t="shared" si="15"/>
        <v>#VALUE!</v>
      </c>
      <c r="J135" s="75"/>
      <c r="K135" s="79">
        <v>32541.77</v>
      </c>
      <c r="L135" s="79">
        <f t="shared" si="16"/>
        <v>24406.327499999999</v>
      </c>
      <c r="M135" s="76"/>
      <c r="N135" s="75" t="s">
        <v>42</v>
      </c>
      <c r="O135" s="80" t="s">
        <v>1246</v>
      </c>
      <c r="P135" s="81">
        <v>39023</v>
      </c>
      <c r="Q135" s="80" t="s">
        <v>336</v>
      </c>
      <c r="R135" s="81"/>
      <c r="S135" s="81">
        <v>43158</v>
      </c>
      <c r="T135" s="81">
        <v>34820</v>
      </c>
      <c r="U135" s="81">
        <v>36281</v>
      </c>
      <c r="V135" s="76">
        <v>36815</v>
      </c>
      <c r="W135" s="76">
        <v>38586</v>
      </c>
      <c r="X135" s="5"/>
      <c r="Y135" s="5"/>
      <c r="Z135" s="76" t="s">
        <v>35</v>
      </c>
      <c r="AA135" s="82" t="s">
        <v>36</v>
      </c>
      <c r="AB135" s="83" t="s">
        <v>37</v>
      </c>
      <c r="AC135" s="84"/>
      <c r="AD135" s="76">
        <v>1</v>
      </c>
      <c r="AE135" s="76">
        <v>1</v>
      </c>
      <c r="AF135" s="76"/>
      <c r="AG135" s="84"/>
      <c r="AH135" s="76"/>
      <c r="AI135" s="76">
        <v>12</v>
      </c>
      <c r="AJ135" s="76">
        <v>31</v>
      </c>
      <c r="AK135" s="84"/>
      <c r="AL135" s="84"/>
      <c r="AM135" s="84"/>
      <c r="AN135" s="84"/>
      <c r="AO135" s="84"/>
    </row>
    <row r="136" spans="1:41" s="1" customFormat="1" ht="45" customHeight="1" x14ac:dyDescent="0.2">
      <c r="A136" s="75">
        <v>118</v>
      </c>
      <c r="B136" s="75"/>
      <c r="C136" s="76" t="s">
        <v>122</v>
      </c>
      <c r="D136" s="76" t="s">
        <v>1247</v>
      </c>
      <c r="E136" s="75" t="s">
        <v>1248</v>
      </c>
      <c r="F136" s="75" t="e">
        <f t="shared" si="17"/>
        <v>#VALUE!</v>
      </c>
      <c r="G136" s="85">
        <v>0.67500000000000004</v>
      </c>
      <c r="H136" s="78" t="e">
        <f t="shared" si="14"/>
        <v>#VALUE!</v>
      </c>
      <c r="I136" s="78" t="e">
        <f t="shared" si="15"/>
        <v>#VALUE!</v>
      </c>
      <c r="J136" s="75"/>
      <c r="K136" s="79">
        <v>32541.78</v>
      </c>
      <c r="L136" s="79">
        <f t="shared" si="16"/>
        <v>21965.701499999999</v>
      </c>
      <c r="M136" s="76"/>
      <c r="N136" s="75" t="s">
        <v>42</v>
      </c>
      <c r="O136" s="80" t="s">
        <v>1249</v>
      </c>
      <c r="P136" s="81">
        <v>37021</v>
      </c>
      <c r="Q136" s="80" t="s">
        <v>336</v>
      </c>
      <c r="R136" s="81"/>
      <c r="S136" s="81">
        <v>42795</v>
      </c>
      <c r="T136" s="81"/>
      <c r="U136" s="81"/>
      <c r="V136" s="76"/>
      <c r="W136" s="76"/>
      <c r="X136" s="5"/>
      <c r="Y136" s="5"/>
      <c r="Z136" s="76" t="s">
        <v>293</v>
      </c>
      <c r="AA136" s="82" t="s">
        <v>36</v>
      </c>
      <c r="AB136" s="83" t="s">
        <v>37</v>
      </c>
      <c r="AC136" s="84"/>
      <c r="AD136" s="76"/>
      <c r="AE136" s="76"/>
      <c r="AF136" s="76"/>
      <c r="AG136" s="84"/>
      <c r="AH136" s="76"/>
      <c r="AI136" s="76"/>
      <c r="AJ136" s="76"/>
      <c r="AK136" s="84"/>
      <c r="AL136" s="84"/>
      <c r="AM136" s="84"/>
      <c r="AN136" s="84"/>
      <c r="AO136" s="84"/>
    </row>
    <row r="137" spans="1:41" s="1" customFormat="1" ht="45" customHeight="1" x14ac:dyDescent="0.2">
      <c r="A137" s="75">
        <v>119</v>
      </c>
      <c r="B137" s="75"/>
      <c r="C137" s="76" t="s">
        <v>122</v>
      </c>
      <c r="D137" s="76" t="s">
        <v>1250</v>
      </c>
      <c r="E137" s="75" t="s">
        <v>1251</v>
      </c>
      <c r="F137" s="75" t="e">
        <f t="shared" si="17"/>
        <v>#VALUE!</v>
      </c>
      <c r="G137" s="77">
        <v>0.85</v>
      </c>
      <c r="H137" s="78" t="e">
        <f t="shared" si="14"/>
        <v>#VALUE!</v>
      </c>
      <c r="I137" s="78" t="e">
        <f t="shared" si="15"/>
        <v>#VALUE!</v>
      </c>
      <c r="J137" s="75"/>
      <c r="K137" s="79">
        <v>32541.78</v>
      </c>
      <c r="L137" s="79">
        <f t="shared" si="16"/>
        <v>27660.512999999999</v>
      </c>
      <c r="M137" s="76"/>
      <c r="N137" s="75" t="s">
        <v>42</v>
      </c>
      <c r="O137" s="80" t="s">
        <v>1252</v>
      </c>
      <c r="P137" s="81">
        <v>36008</v>
      </c>
      <c r="Q137" s="80" t="s">
        <v>336</v>
      </c>
      <c r="R137" s="81"/>
      <c r="S137" s="81">
        <v>42795</v>
      </c>
      <c r="T137" s="81">
        <v>33787</v>
      </c>
      <c r="U137" s="81">
        <v>35247</v>
      </c>
      <c r="V137" s="76"/>
      <c r="W137" s="76"/>
      <c r="X137" s="5"/>
      <c r="Y137" s="5" t="s">
        <v>35</v>
      </c>
      <c r="Z137" s="76" t="s">
        <v>35</v>
      </c>
      <c r="AA137" s="82" t="s">
        <v>36</v>
      </c>
      <c r="AB137" s="83" t="s">
        <v>37</v>
      </c>
      <c r="AC137" s="84"/>
      <c r="AD137" s="76">
        <v>1</v>
      </c>
      <c r="AE137" s="76"/>
      <c r="AF137" s="76"/>
      <c r="AG137" s="84"/>
      <c r="AH137" s="76"/>
      <c r="AI137" s="76">
        <v>12</v>
      </c>
      <c r="AJ137" s="76"/>
      <c r="AK137" s="84"/>
      <c r="AL137" s="84"/>
      <c r="AM137" s="84"/>
      <c r="AN137" s="84"/>
      <c r="AO137" s="84"/>
    </row>
    <row r="138" spans="1:41" s="1" customFormat="1" ht="45" customHeight="1" x14ac:dyDescent="0.2">
      <c r="A138" s="75">
        <v>120</v>
      </c>
      <c r="B138" s="75"/>
      <c r="C138" s="76" t="s">
        <v>122</v>
      </c>
      <c r="D138" s="76" t="s">
        <v>1253</v>
      </c>
      <c r="E138" s="75" t="s">
        <v>1254</v>
      </c>
      <c r="F138" s="75" t="e">
        <f t="shared" si="17"/>
        <v>#VALUE!</v>
      </c>
      <c r="G138" s="77">
        <v>0.88</v>
      </c>
      <c r="H138" s="78" t="e">
        <f t="shared" si="14"/>
        <v>#VALUE!</v>
      </c>
      <c r="I138" s="78" t="e">
        <f t="shared" si="15"/>
        <v>#VALUE!</v>
      </c>
      <c r="J138" s="75" t="s">
        <v>13</v>
      </c>
      <c r="K138" s="79">
        <v>32541.77</v>
      </c>
      <c r="L138" s="79">
        <f t="shared" si="16"/>
        <v>28636.757600000001</v>
      </c>
      <c r="M138" s="76"/>
      <c r="N138" s="75" t="s">
        <v>42</v>
      </c>
      <c r="O138" s="80" t="s">
        <v>1255</v>
      </c>
      <c r="P138" s="81">
        <v>34121</v>
      </c>
      <c r="Q138" s="80" t="s">
        <v>1960</v>
      </c>
      <c r="R138" s="81"/>
      <c r="S138" s="81">
        <v>40238</v>
      </c>
      <c r="T138" s="81"/>
      <c r="U138" s="81"/>
      <c r="V138" s="76"/>
      <c r="W138" s="76"/>
      <c r="X138" s="5" t="s">
        <v>894</v>
      </c>
      <c r="Y138" s="5"/>
      <c r="Z138" s="76" t="s">
        <v>899</v>
      </c>
      <c r="AA138" s="82" t="s">
        <v>36</v>
      </c>
      <c r="AB138" s="83" t="s">
        <v>37</v>
      </c>
      <c r="AC138" s="84"/>
      <c r="AD138" s="76"/>
      <c r="AE138" s="76"/>
      <c r="AF138" s="76"/>
      <c r="AG138" s="84"/>
      <c r="AH138" s="76"/>
      <c r="AI138" s="76"/>
      <c r="AJ138" s="76"/>
      <c r="AK138" s="84"/>
      <c r="AL138" s="84"/>
      <c r="AM138" s="84"/>
      <c r="AN138" s="84"/>
      <c r="AO138" s="84"/>
    </row>
    <row r="139" spans="1:41" s="1" customFormat="1" ht="45" customHeight="1" x14ac:dyDescent="0.2">
      <c r="A139" s="75">
        <v>121</v>
      </c>
      <c r="B139" s="75"/>
      <c r="C139" s="76" t="s">
        <v>122</v>
      </c>
      <c r="D139" s="76" t="s">
        <v>1256</v>
      </c>
      <c r="E139" s="75" t="s">
        <v>1257</v>
      </c>
      <c r="F139" s="75" t="e">
        <f t="shared" si="17"/>
        <v>#VALUE!</v>
      </c>
      <c r="G139" s="85">
        <v>0.67500000000000004</v>
      </c>
      <c r="H139" s="78" t="e">
        <f t="shared" si="14"/>
        <v>#VALUE!</v>
      </c>
      <c r="I139" s="78" t="e">
        <f t="shared" si="15"/>
        <v>#VALUE!</v>
      </c>
      <c r="J139" s="75" t="s">
        <v>13</v>
      </c>
      <c r="K139" s="79">
        <v>32541.78</v>
      </c>
      <c r="L139" s="79">
        <f>K139*G139</f>
        <v>21965.701499999999</v>
      </c>
      <c r="M139" s="76"/>
      <c r="N139" s="75" t="s">
        <v>42</v>
      </c>
      <c r="O139" s="80" t="s">
        <v>1258</v>
      </c>
      <c r="P139" s="81">
        <v>38008</v>
      </c>
      <c r="Q139" s="80" t="s">
        <v>1960</v>
      </c>
      <c r="R139" s="81"/>
      <c r="S139" s="81">
        <v>39142</v>
      </c>
      <c r="T139" s="81">
        <v>32401</v>
      </c>
      <c r="U139" s="81">
        <v>40863</v>
      </c>
      <c r="V139" s="76"/>
      <c r="W139" s="76"/>
      <c r="X139" s="5" t="s">
        <v>894</v>
      </c>
      <c r="Y139" s="5"/>
      <c r="Z139" s="76" t="s">
        <v>1259</v>
      </c>
      <c r="AA139" s="82" t="s">
        <v>36</v>
      </c>
      <c r="AB139" s="83" t="s">
        <v>37</v>
      </c>
      <c r="AC139" s="84"/>
      <c r="AD139" s="76"/>
      <c r="AE139" s="76"/>
      <c r="AF139" s="76"/>
      <c r="AG139" s="84"/>
      <c r="AH139" s="76"/>
      <c r="AI139" s="76"/>
      <c r="AJ139" s="76"/>
      <c r="AK139" s="84"/>
      <c r="AL139" s="84"/>
      <c r="AM139" s="84"/>
      <c r="AN139" s="84"/>
      <c r="AO139" s="84"/>
    </row>
    <row r="140" spans="1:41" s="1" customFormat="1" ht="45" customHeight="1" x14ac:dyDescent="0.2">
      <c r="A140" s="75">
        <v>122</v>
      </c>
      <c r="B140" s="75"/>
      <c r="C140" s="76" t="s">
        <v>122</v>
      </c>
      <c r="D140" s="76" t="s">
        <v>1260</v>
      </c>
      <c r="E140" s="75" t="s">
        <v>1261</v>
      </c>
      <c r="F140" s="75" t="e">
        <f t="shared" si="17"/>
        <v>#VALUE!</v>
      </c>
      <c r="G140" s="85">
        <v>0.67500000000000004</v>
      </c>
      <c r="H140" s="78" t="e">
        <f t="shared" si="14"/>
        <v>#VALUE!</v>
      </c>
      <c r="I140" s="78" t="e">
        <f t="shared" si="15"/>
        <v>#VALUE!</v>
      </c>
      <c r="J140" s="75"/>
      <c r="K140" s="79">
        <f>32541.78</f>
        <v>32541.78</v>
      </c>
      <c r="L140" s="79">
        <f>K140*G140</f>
        <v>21965.701499999999</v>
      </c>
      <c r="M140" s="76"/>
      <c r="N140" s="75" t="s">
        <v>42</v>
      </c>
      <c r="O140" s="80" t="s">
        <v>1262</v>
      </c>
      <c r="P140" s="81">
        <v>36923</v>
      </c>
      <c r="Q140" s="80" t="s">
        <v>336</v>
      </c>
      <c r="R140" s="81"/>
      <c r="S140" s="81">
        <v>42430</v>
      </c>
      <c r="T140" s="81"/>
      <c r="U140" s="81"/>
      <c r="V140" s="76"/>
      <c r="W140" s="76"/>
      <c r="X140" s="5"/>
      <c r="Y140" s="5"/>
      <c r="Z140" s="76" t="s">
        <v>134</v>
      </c>
      <c r="AA140" s="82" t="s">
        <v>36</v>
      </c>
      <c r="AB140" s="83" t="s">
        <v>37</v>
      </c>
      <c r="AC140" s="84"/>
      <c r="AD140" s="76"/>
      <c r="AE140" s="76"/>
      <c r="AF140" s="76"/>
      <c r="AG140" s="84"/>
      <c r="AH140" s="76"/>
      <c r="AI140" s="76"/>
      <c r="AJ140" s="76"/>
      <c r="AK140" s="84"/>
      <c r="AL140" s="84"/>
      <c r="AM140" s="84"/>
      <c r="AN140" s="84"/>
      <c r="AO140" s="84"/>
    </row>
    <row r="141" spans="1:41" s="1" customFormat="1" ht="45" customHeight="1" x14ac:dyDescent="0.2">
      <c r="A141" s="75">
        <v>123</v>
      </c>
      <c r="B141" s="75"/>
      <c r="C141" s="76" t="s">
        <v>122</v>
      </c>
      <c r="D141" s="76" t="s">
        <v>1263</v>
      </c>
      <c r="E141" s="75" t="s">
        <v>1264</v>
      </c>
      <c r="F141" s="75" t="e">
        <f t="shared" si="17"/>
        <v>#VALUE!</v>
      </c>
      <c r="G141" s="77">
        <v>1</v>
      </c>
      <c r="H141" s="78" t="e">
        <f t="shared" si="14"/>
        <v>#VALUE!</v>
      </c>
      <c r="I141" s="78" t="e">
        <f t="shared" si="15"/>
        <v>#VALUE!</v>
      </c>
      <c r="J141" s="75"/>
      <c r="K141" s="79">
        <v>32541.78</v>
      </c>
      <c r="L141" s="79">
        <f t="shared" si="16"/>
        <v>32541.78</v>
      </c>
      <c r="M141" s="76" t="s">
        <v>1265</v>
      </c>
      <c r="N141" s="75" t="s">
        <v>33</v>
      </c>
      <c r="O141" s="80" t="s">
        <v>1266</v>
      </c>
      <c r="P141" s="81">
        <v>38762</v>
      </c>
      <c r="Q141" s="80" t="s">
        <v>1951</v>
      </c>
      <c r="R141" s="105" t="s">
        <v>1265</v>
      </c>
      <c r="S141" s="81">
        <v>42795</v>
      </c>
      <c r="T141" s="81"/>
      <c r="U141" s="81"/>
      <c r="V141" s="76"/>
      <c r="W141" s="76"/>
      <c r="X141" s="5"/>
      <c r="Y141" s="5"/>
      <c r="Z141" s="76" t="s">
        <v>48</v>
      </c>
      <c r="AA141" s="82" t="s">
        <v>36</v>
      </c>
      <c r="AB141" s="83" t="s">
        <v>37</v>
      </c>
      <c r="AC141" s="84"/>
      <c r="AD141" s="76"/>
      <c r="AE141" s="76"/>
      <c r="AF141" s="76"/>
      <c r="AG141" s="84"/>
      <c r="AH141" s="76"/>
      <c r="AI141" s="76"/>
      <c r="AJ141" s="76"/>
      <c r="AK141" s="84"/>
      <c r="AL141" s="84"/>
      <c r="AM141" s="84"/>
      <c r="AN141" s="84"/>
      <c r="AO141" s="84"/>
    </row>
    <row r="142" spans="1:41" s="1" customFormat="1" ht="45" customHeight="1" x14ac:dyDescent="0.2">
      <c r="A142" s="75">
        <v>124</v>
      </c>
      <c r="B142" s="75"/>
      <c r="C142" s="76" t="s">
        <v>122</v>
      </c>
      <c r="D142" s="76" t="s">
        <v>1267</v>
      </c>
      <c r="E142" s="75" t="s">
        <v>1268</v>
      </c>
      <c r="F142" s="75" t="e">
        <f t="shared" si="17"/>
        <v>#VALUE!</v>
      </c>
      <c r="G142" s="77">
        <v>0.65</v>
      </c>
      <c r="H142" s="78" t="e">
        <f t="shared" si="14"/>
        <v>#VALUE!</v>
      </c>
      <c r="I142" s="78" t="e">
        <f t="shared" si="15"/>
        <v>#VALUE!</v>
      </c>
      <c r="J142" s="75"/>
      <c r="K142" s="79">
        <v>31510.28</v>
      </c>
      <c r="L142" s="79">
        <f t="shared" si="16"/>
        <v>20481.682000000001</v>
      </c>
      <c r="M142" s="76"/>
      <c r="N142" s="75" t="s">
        <v>42</v>
      </c>
      <c r="O142" s="80" t="s">
        <v>1269</v>
      </c>
      <c r="P142" s="81">
        <v>37408</v>
      </c>
      <c r="Q142" s="80" t="s">
        <v>336</v>
      </c>
      <c r="R142" s="81"/>
      <c r="S142" s="81">
        <v>43888</v>
      </c>
      <c r="T142" s="81"/>
      <c r="U142" s="81"/>
      <c r="V142" s="76"/>
      <c r="W142" s="76"/>
      <c r="X142" s="5" t="s">
        <v>1027</v>
      </c>
      <c r="Y142" s="5"/>
      <c r="Z142" s="76" t="s">
        <v>129</v>
      </c>
      <c r="AA142" s="82" t="s">
        <v>36</v>
      </c>
      <c r="AB142" s="83" t="s">
        <v>37</v>
      </c>
      <c r="AC142" s="84"/>
      <c r="AD142" s="76"/>
      <c r="AE142" s="76"/>
      <c r="AF142" s="76"/>
      <c r="AG142" s="84"/>
      <c r="AH142" s="76"/>
      <c r="AI142" s="76"/>
      <c r="AJ142" s="76"/>
      <c r="AK142" s="84"/>
      <c r="AL142" s="84"/>
      <c r="AM142" s="84"/>
      <c r="AN142" s="84"/>
      <c r="AO142" s="84"/>
    </row>
    <row r="143" spans="1:41" s="1" customFormat="1" ht="45" customHeight="1" x14ac:dyDescent="0.2">
      <c r="A143" s="75">
        <v>125</v>
      </c>
      <c r="B143" s="75"/>
      <c r="C143" s="76" t="s">
        <v>1270</v>
      </c>
      <c r="D143" s="76" t="s">
        <v>1271</v>
      </c>
      <c r="E143" s="75" t="s">
        <v>1272</v>
      </c>
      <c r="F143" s="75" t="e">
        <f>DATEDIF(P143,Q143,"y") + DATEDIF(T143,U143,"y") + DATEDIF(V143,W143,"y") + SUM(AD143) &amp; " años " &amp; DATEDIF(P143,Q143,"ym") + DATEDIF(T143,U143,"ym") + DATEDIF(V143,W143,"ym") + SUM(AE143) - SUM(AI143) &amp; " meses " &amp; DATEDIF(P143,Q143,"md") + DATEDIF(T143,U143,"md") + DATEDIF(V143,W143,"md") - SUM(AJ143) &amp; " días"</f>
        <v>#VALUE!</v>
      </c>
      <c r="G143" s="77">
        <v>0.75</v>
      </c>
      <c r="H143" s="78" t="e">
        <f t="shared" si="14"/>
        <v>#VALUE!</v>
      </c>
      <c r="I143" s="78" t="e">
        <f t="shared" si="15"/>
        <v>#VALUE!</v>
      </c>
      <c r="J143" s="75"/>
      <c r="K143" s="79">
        <f t="shared" ref="K143:K149" si="19">31510.28</f>
        <v>31510.28</v>
      </c>
      <c r="L143" s="79">
        <f t="shared" si="16"/>
        <v>23632.71</v>
      </c>
      <c r="M143" s="76"/>
      <c r="N143" s="75" t="s">
        <v>42</v>
      </c>
      <c r="O143" s="80" t="s">
        <v>1273</v>
      </c>
      <c r="P143" s="81">
        <v>35855</v>
      </c>
      <c r="Q143" s="80" t="s">
        <v>336</v>
      </c>
      <c r="R143" s="81"/>
      <c r="S143" s="81">
        <v>42062</v>
      </c>
      <c r="T143" s="81"/>
      <c r="U143" s="81"/>
      <c r="V143" s="76"/>
      <c r="W143" s="76"/>
      <c r="X143" s="5"/>
      <c r="Y143" s="5"/>
      <c r="Z143" s="76" t="s">
        <v>1032</v>
      </c>
      <c r="AA143" s="82" t="s">
        <v>36</v>
      </c>
      <c r="AB143" s="83" t="s">
        <v>37</v>
      </c>
      <c r="AC143" s="84"/>
      <c r="AD143" s="76"/>
      <c r="AE143" s="76"/>
      <c r="AF143" s="76"/>
      <c r="AG143" s="84"/>
      <c r="AH143" s="76"/>
      <c r="AI143" s="76"/>
      <c r="AJ143" s="76"/>
      <c r="AK143" s="84"/>
      <c r="AL143" s="84"/>
      <c r="AM143" s="84"/>
      <c r="AN143" s="84"/>
      <c r="AO143" s="84"/>
    </row>
    <row r="144" spans="1:41" s="1" customFormat="1" ht="45" customHeight="1" x14ac:dyDescent="0.2">
      <c r="A144" s="75">
        <v>126</v>
      </c>
      <c r="B144" s="75"/>
      <c r="C144" s="76" t="s">
        <v>1270</v>
      </c>
      <c r="D144" s="76" t="s">
        <v>1274</v>
      </c>
      <c r="E144" s="75" t="s">
        <v>1275</v>
      </c>
      <c r="F144" s="75" t="e">
        <f>DATEDIF(P144,Q144,"y") + DATEDIF(T144,U144,"y") + DATEDIF(V144,W144,"y") + SUM(AD144) &amp; " años " &amp; DATEDIF(P144,Q144,"ym") + DATEDIF(T144,U144,"ym") + DATEDIF(V144,W144,"ym") + SUM(AE144) - SUM(AI144) &amp; " meses " &amp; DATEDIF(P144,Q144,"md") + DATEDIF(T144,U144,"md") + DATEDIF(V144,W144,"md") - SUM(AJ144) &amp; " días"</f>
        <v>#VALUE!</v>
      </c>
      <c r="G144" s="77">
        <v>0.8</v>
      </c>
      <c r="H144" s="78" t="e">
        <f t="shared" si="14"/>
        <v>#VALUE!</v>
      </c>
      <c r="I144" s="78" t="e">
        <f t="shared" si="15"/>
        <v>#VALUE!</v>
      </c>
      <c r="J144" s="75"/>
      <c r="K144" s="79">
        <f t="shared" si="19"/>
        <v>31510.28</v>
      </c>
      <c r="L144" s="79">
        <f t="shared" si="16"/>
        <v>25208.224000000002</v>
      </c>
      <c r="M144" s="76"/>
      <c r="N144" s="75" t="s">
        <v>42</v>
      </c>
      <c r="O144" s="80" t="s">
        <v>1276</v>
      </c>
      <c r="P144" s="81">
        <v>35128</v>
      </c>
      <c r="Q144" s="80" t="s">
        <v>336</v>
      </c>
      <c r="R144" s="81"/>
      <c r="S144" s="81">
        <v>42062</v>
      </c>
      <c r="T144" s="81"/>
      <c r="U144" s="81"/>
      <c r="V144" s="76"/>
      <c r="W144" s="76"/>
      <c r="X144" s="5"/>
      <c r="Y144" s="5"/>
      <c r="Z144" s="76" t="s">
        <v>1032</v>
      </c>
      <c r="AA144" s="82" t="s">
        <v>36</v>
      </c>
      <c r="AB144" s="83" t="s">
        <v>37</v>
      </c>
      <c r="AC144" s="84"/>
      <c r="AD144" s="76"/>
      <c r="AE144" s="76"/>
      <c r="AF144" s="76"/>
      <c r="AG144" s="84"/>
      <c r="AH144" s="76"/>
      <c r="AI144" s="76"/>
      <c r="AJ144" s="76"/>
      <c r="AK144" s="84"/>
      <c r="AL144" s="84"/>
      <c r="AM144" s="84"/>
      <c r="AN144" s="84"/>
      <c r="AO144" s="84"/>
    </row>
    <row r="145" spans="1:41" s="1" customFormat="1" ht="45" customHeight="1" x14ac:dyDescent="0.2">
      <c r="A145" s="75">
        <v>127</v>
      </c>
      <c r="B145" s="75"/>
      <c r="C145" s="76" t="s">
        <v>1270</v>
      </c>
      <c r="D145" s="76" t="s">
        <v>1277</v>
      </c>
      <c r="E145" s="75" t="s">
        <v>1278</v>
      </c>
      <c r="F145" s="75" t="e">
        <f>DATEDIF(P145,Q145,"y") + DATEDIF(T145,U145,"y") + DATEDIF(V145,W145,"y") + SUM(AD145) &amp; " años " &amp; DATEDIF(P145,Q145,"ym") + DATEDIF(T145,U145,"ym") + DATEDIF(V145,W145,"ym") + SUM(AE145) - SUM(AI145) &amp; " meses " &amp; DATEDIF(P145,Q145,"md") + DATEDIF(T145,U145,"md") + DATEDIF(V145,W145,"md") - SUM(AJ145) &amp; " días"</f>
        <v>#VALUE!</v>
      </c>
      <c r="G145" s="77">
        <v>0.75</v>
      </c>
      <c r="H145" s="78" t="e">
        <f t="shared" si="14"/>
        <v>#VALUE!</v>
      </c>
      <c r="I145" s="78" t="e">
        <f t="shared" si="15"/>
        <v>#VALUE!</v>
      </c>
      <c r="J145" s="75"/>
      <c r="K145" s="79">
        <f t="shared" si="19"/>
        <v>31510.28</v>
      </c>
      <c r="L145" s="79">
        <f t="shared" si="16"/>
        <v>23632.71</v>
      </c>
      <c r="M145" s="76"/>
      <c r="N145" s="75" t="s">
        <v>42</v>
      </c>
      <c r="O145" s="80" t="s">
        <v>1279</v>
      </c>
      <c r="P145" s="81">
        <v>37787</v>
      </c>
      <c r="Q145" s="80" t="s">
        <v>336</v>
      </c>
      <c r="R145" s="81"/>
      <c r="S145" s="81">
        <v>43158</v>
      </c>
      <c r="T145" s="81">
        <v>34480</v>
      </c>
      <c r="U145" s="81">
        <v>36192</v>
      </c>
      <c r="V145" s="76">
        <v>37043</v>
      </c>
      <c r="W145" s="76">
        <v>37340</v>
      </c>
      <c r="X145" s="5"/>
      <c r="Y145" s="5"/>
      <c r="Z145" s="76" t="s">
        <v>35</v>
      </c>
      <c r="AA145" s="82" t="s">
        <v>36</v>
      </c>
      <c r="AB145" s="83" t="s">
        <v>37</v>
      </c>
      <c r="AC145" s="84"/>
      <c r="AD145" s="76">
        <v>2</v>
      </c>
      <c r="AE145" s="76">
        <v>1</v>
      </c>
      <c r="AF145" s="76"/>
      <c r="AG145" s="84"/>
      <c r="AH145" s="76"/>
      <c r="AI145" s="76">
        <v>24</v>
      </c>
      <c r="AJ145" s="76">
        <v>30</v>
      </c>
      <c r="AK145" s="84"/>
      <c r="AL145" s="84"/>
      <c r="AM145" s="84"/>
      <c r="AN145" s="84"/>
      <c r="AO145" s="84"/>
    </row>
    <row r="146" spans="1:41" s="1" customFormat="1" ht="45" customHeight="1" x14ac:dyDescent="0.2">
      <c r="A146" s="75">
        <v>128</v>
      </c>
      <c r="B146" s="75"/>
      <c r="C146" s="76" t="s">
        <v>1270</v>
      </c>
      <c r="D146" s="76" t="s">
        <v>1280</v>
      </c>
      <c r="E146" s="75" t="s">
        <v>1281</v>
      </c>
      <c r="F146" s="75" t="e">
        <f>DATEDIF(P146,Q146,"y") + DATEDIF(T146,U146,"y") + DATEDIF(V146,W146,"y") + SUM(AD146) &amp; " años " &amp; DATEDIF(P146,Q146,"ym") + DATEDIF(T146,U146,"ym") + DATEDIF(V146,W146,"ym") + SUM(AE146) - SUM(AI146) &amp; " meses " &amp; DATEDIF(P146,Q146,"md") + DATEDIF(T146,U146,"md") + DATEDIF(V146,W146,"md") - SUM(AJ146) &amp; " días"</f>
        <v>#VALUE!</v>
      </c>
      <c r="G146" s="85">
        <v>0.77500000000000002</v>
      </c>
      <c r="H146" s="78" t="e">
        <f t="shared" si="14"/>
        <v>#VALUE!</v>
      </c>
      <c r="I146" s="78" t="e">
        <f t="shared" si="15"/>
        <v>#VALUE!</v>
      </c>
      <c r="J146" s="75"/>
      <c r="K146" s="79">
        <f t="shared" si="19"/>
        <v>31510.28</v>
      </c>
      <c r="L146" s="79">
        <f t="shared" si="16"/>
        <v>24420.467000000001</v>
      </c>
      <c r="M146" s="76"/>
      <c r="N146" s="75" t="s">
        <v>42</v>
      </c>
      <c r="O146" s="80" t="s">
        <v>1282</v>
      </c>
      <c r="P146" s="81">
        <v>38301</v>
      </c>
      <c r="Q146" s="80" t="s">
        <v>336</v>
      </c>
      <c r="R146" s="81"/>
      <c r="S146" s="81">
        <v>43525</v>
      </c>
      <c r="T146" s="81">
        <v>30590</v>
      </c>
      <c r="U146" s="81">
        <v>33511</v>
      </c>
      <c r="V146" s="76"/>
      <c r="W146" s="76"/>
      <c r="X146" s="5"/>
      <c r="Y146" s="5"/>
      <c r="Z146" s="76" t="s">
        <v>1032</v>
      </c>
      <c r="AA146" s="82" t="s">
        <v>36</v>
      </c>
      <c r="AB146" s="83" t="s">
        <v>37</v>
      </c>
      <c r="AC146" s="84"/>
      <c r="AD146" s="76">
        <v>1</v>
      </c>
      <c r="AE146" s="76">
        <v>1</v>
      </c>
      <c r="AF146" s="76"/>
      <c r="AG146" s="84"/>
      <c r="AH146" s="76"/>
      <c r="AI146" s="76">
        <v>12</v>
      </c>
      <c r="AJ146" s="76">
        <v>30</v>
      </c>
      <c r="AK146" s="84"/>
      <c r="AL146" s="84"/>
      <c r="AM146" s="84"/>
      <c r="AN146" s="84"/>
      <c r="AO146" s="84"/>
    </row>
    <row r="147" spans="1:41" s="1" customFormat="1" ht="45" customHeight="1" x14ac:dyDescent="0.2">
      <c r="A147" s="75">
        <v>129</v>
      </c>
      <c r="B147" s="75"/>
      <c r="C147" s="76" t="s">
        <v>1270</v>
      </c>
      <c r="D147" s="76" t="s">
        <v>1283</v>
      </c>
      <c r="E147" s="75" t="s">
        <v>1284</v>
      </c>
      <c r="F147" s="75" t="e">
        <f>DATEDIF(P147,Q147,"y") + DATEDIF(T147,U147,"y") + DATEDIF(V147,W147,"y") + SUM(Z147) &amp; " años " &amp; DATEDIF(P147,Q147,"ym") + DATEDIF(T147,U147,"ym") + DATEDIF(V147,W147,"ym") + SUM(AA147) - SUM(AE147) &amp; " meses " &amp; DATEDIF(P147,Q147,"md") + DATEDIF(T147,U147,"md") + DATEDIF(V147,W147,"md") - SUM(AF147) &amp; " días"</f>
        <v>#VALUE!</v>
      </c>
      <c r="G147" s="77">
        <v>0.8</v>
      </c>
      <c r="H147" s="78" t="e">
        <f t="shared" ref="H147:H156" si="20">DATEDIF(R147,Q147,"y") &amp; " años " &amp; DATEDIF(R147,Q147,"ym") &amp; " meses " &amp; DATEDIF(R147,Q147,"md") &amp; " días"</f>
        <v>#VALUE!</v>
      </c>
      <c r="I147" s="78" t="e">
        <f t="shared" ref="I147:I156" si="21">DATEDIF(S147,Q147,"y") &amp; " años " &amp; DATEDIF(S147,Q147,"ym") &amp; " meses " &amp; DATEDIF(S147,Q147,"md") &amp; " días"</f>
        <v>#VALUE!</v>
      </c>
      <c r="J147" s="75"/>
      <c r="K147" s="79">
        <f t="shared" si="19"/>
        <v>31510.28</v>
      </c>
      <c r="L147" s="79">
        <f t="shared" ref="L147:L156" si="22">K147*G147</f>
        <v>25208.224000000002</v>
      </c>
      <c r="M147" s="76"/>
      <c r="N147" s="75" t="s">
        <v>42</v>
      </c>
      <c r="O147" s="80" t="s">
        <v>1285</v>
      </c>
      <c r="P147" s="81">
        <v>37184</v>
      </c>
      <c r="Q147" s="80" t="s">
        <v>336</v>
      </c>
      <c r="R147" s="81"/>
      <c r="S147" s="81">
        <v>43525</v>
      </c>
      <c r="T147" s="81">
        <v>31291</v>
      </c>
      <c r="U147" s="81">
        <v>33239</v>
      </c>
      <c r="V147" s="76"/>
      <c r="W147" s="76"/>
      <c r="X147" s="5" t="s">
        <v>1286</v>
      </c>
      <c r="Y147" s="5" t="s">
        <v>35</v>
      </c>
      <c r="Z147" s="76" t="s">
        <v>35</v>
      </c>
      <c r="AA147" s="82" t="s">
        <v>36</v>
      </c>
      <c r="AB147" s="83" t="s">
        <v>37</v>
      </c>
      <c r="AC147" s="84"/>
      <c r="AD147" s="76"/>
      <c r="AE147" s="76"/>
      <c r="AF147" s="76"/>
      <c r="AG147" s="84"/>
      <c r="AH147" s="76"/>
      <c r="AI147" s="76"/>
      <c r="AJ147" s="76"/>
      <c r="AK147" s="84"/>
      <c r="AL147" s="84"/>
      <c r="AM147" s="84"/>
      <c r="AN147" s="84"/>
      <c r="AO147" s="84"/>
    </row>
    <row r="148" spans="1:41" s="1" customFormat="1" ht="45" customHeight="1" x14ac:dyDescent="0.2">
      <c r="A148" s="75">
        <v>130</v>
      </c>
      <c r="B148" s="75"/>
      <c r="C148" s="76" t="s">
        <v>1270</v>
      </c>
      <c r="D148" s="76" t="s">
        <v>1287</v>
      </c>
      <c r="E148" s="75" t="s">
        <v>1288</v>
      </c>
      <c r="F148" s="75" t="e">
        <f t="shared" ref="F148:F155" si="23">DATEDIF(P148,Q148,"y") + DATEDIF(T148,U148,"y") + DATEDIF(V148,W148,"y") + SUM(AD148) &amp; " años " &amp; DATEDIF(P148,Q148,"ym") + DATEDIF(T148,U148,"ym") + DATEDIF(V148,W148,"ym") + SUM(AE148) - SUM(AI148) &amp; " meses " &amp; DATEDIF(P148,Q148,"md") + DATEDIF(T148,U148,"md") + DATEDIF(V148,W148,"md") - SUM(AJ148) &amp; " días"</f>
        <v>#VALUE!</v>
      </c>
      <c r="G148" s="77">
        <v>0.65</v>
      </c>
      <c r="H148" s="78" t="e">
        <f t="shared" si="20"/>
        <v>#VALUE!</v>
      </c>
      <c r="I148" s="78" t="e">
        <f t="shared" si="21"/>
        <v>#VALUE!</v>
      </c>
      <c r="J148" s="75"/>
      <c r="K148" s="79">
        <f t="shared" si="19"/>
        <v>31510.28</v>
      </c>
      <c r="L148" s="79">
        <f t="shared" si="22"/>
        <v>20481.682000000001</v>
      </c>
      <c r="M148" s="76"/>
      <c r="N148" s="75" t="s">
        <v>42</v>
      </c>
      <c r="O148" s="80" t="s">
        <v>1289</v>
      </c>
      <c r="P148" s="81">
        <v>37469</v>
      </c>
      <c r="Q148" s="80" t="s">
        <v>336</v>
      </c>
      <c r="R148" s="81"/>
      <c r="S148" s="81">
        <v>42430</v>
      </c>
      <c r="T148" s="81"/>
      <c r="U148" s="81"/>
      <c r="V148" s="76"/>
      <c r="W148" s="76"/>
      <c r="X148" s="5"/>
      <c r="Y148" s="5" t="s">
        <v>35</v>
      </c>
      <c r="Z148" s="76" t="s">
        <v>35</v>
      </c>
      <c r="AA148" s="82" t="s">
        <v>36</v>
      </c>
      <c r="AB148" s="83" t="s">
        <v>37</v>
      </c>
      <c r="AC148" s="84"/>
      <c r="AD148" s="76"/>
      <c r="AE148" s="76"/>
      <c r="AF148" s="76"/>
      <c r="AG148" s="84"/>
      <c r="AH148" s="76"/>
      <c r="AI148" s="76"/>
      <c r="AJ148" s="76"/>
      <c r="AK148" s="84"/>
      <c r="AL148" s="84"/>
      <c r="AM148" s="84"/>
      <c r="AN148" s="84"/>
      <c r="AO148" s="84"/>
    </row>
    <row r="149" spans="1:41" s="1" customFormat="1" ht="45" customHeight="1" x14ac:dyDescent="0.2">
      <c r="A149" s="75">
        <v>131</v>
      </c>
      <c r="B149" s="75"/>
      <c r="C149" s="76" t="s">
        <v>1270</v>
      </c>
      <c r="D149" s="76" t="s">
        <v>1290</v>
      </c>
      <c r="E149" s="75" t="s">
        <v>1291</v>
      </c>
      <c r="F149" s="75" t="e">
        <f t="shared" si="23"/>
        <v>#VALUE!</v>
      </c>
      <c r="G149" s="77">
        <v>0.75</v>
      </c>
      <c r="H149" s="78" t="e">
        <f t="shared" si="20"/>
        <v>#VALUE!</v>
      </c>
      <c r="I149" s="78" t="e">
        <f t="shared" si="21"/>
        <v>#VALUE!</v>
      </c>
      <c r="J149" s="75"/>
      <c r="K149" s="79">
        <f t="shared" si="19"/>
        <v>31510.28</v>
      </c>
      <c r="L149" s="79">
        <f t="shared" si="22"/>
        <v>23632.71</v>
      </c>
      <c r="M149" s="76"/>
      <c r="N149" s="75" t="s">
        <v>42</v>
      </c>
      <c r="O149" s="80" t="s">
        <v>1292</v>
      </c>
      <c r="P149" s="81">
        <v>38416</v>
      </c>
      <c r="Q149" s="80" t="s">
        <v>336</v>
      </c>
      <c r="R149" s="81"/>
      <c r="S149" s="81">
        <v>43525</v>
      </c>
      <c r="T149" s="81">
        <v>32552</v>
      </c>
      <c r="U149" s="81">
        <v>35077</v>
      </c>
      <c r="V149" s="76"/>
      <c r="W149" s="76"/>
      <c r="X149" s="5"/>
      <c r="Y149" s="5"/>
      <c r="Z149" s="76" t="s">
        <v>1032</v>
      </c>
      <c r="AA149" s="82" t="s">
        <v>36</v>
      </c>
      <c r="AB149" s="83" t="s">
        <v>37</v>
      </c>
      <c r="AC149" s="84"/>
      <c r="AD149" s="76">
        <v>1</v>
      </c>
      <c r="AE149" s="76"/>
      <c r="AF149" s="76"/>
      <c r="AG149" s="84"/>
      <c r="AH149" s="76"/>
      <c r="AI149" s="76">
        <v>12</v>
      </c>
      <c r="AJ149" s="76"/>
      <c r="AK149" s="84"/>
      <c r="AL149" s="84"/>
      <c r="AM149" s="84"/>
      <c r="AN149" s="84"/>
      <c r="AO149" s="84"/>
    </row>
    <row r="150" spans="1:41" s="1" customFormat="1" ht="45" customHeight="1" x14ac:dyDescent="0.2">
      <c r="A150" s="75">
        <v>132</v>
      </c>
      <c r="B150" s="75"/>
      <c r="C150" s="76" t="s">
        <v>1270</v>
      </c>
      <c r="D150" s="76" t="s">
        <v>1293</v>
      </c>
      <c r="E150" s="75" t="s">
        <v>1294</v>
      </c>
      <c r="F150" s="75" t="e">
        <f t="shared" si="23"/>
        <v>#VALUE!</v>
      </c>
      <c r="G150" s="77">
        <v>0.7</v>
      </c>
      <c r="H150" s="78" t="e">
        <f t="shared" si="20"/>
        <v>#VALUE!</v>
      </c>
      <c r="I150" s="78" t="e">
        <f t="shared" si="21"/>
        <v>#VALUE!</v>
      </c>
      <c r="J150" s="75"/>
      <c r="K150" s="79">
        <f>31510.27</f>
        <v>31510.27</v>
      </c>
      <c r="L150" s="79">
        <f t="shared" si="22"/>
        <v>22057.188999999998</v>
      </c>
      <c r="M150" s="76"/>
      <c r="N150" s="75" t="s">
        <v>42</v>
      </c>
      <c r="O150" s="80" t="s">
        <v>1295</v>
      </c>
      <c r="P150" s="81">
        <v>36647</v>
      </c>
      <c r="Q150" s="80" t="s">
        <v>336</v>
      </c>
      <c r="R150" s="81"/>
      <c r="S150" s="81">
        <v>42430</v>
      </c>
      <c r="T150" s="81"/>
      <c r="U150" s="81"/>
      <c r="V150" s="76"/>
      <c r="W150" s="76"/>
      <c r="X150" s="5" t="s">
        <v>1286</v>
      </c>
      <c r="Y150" s="5" t="s">
        <v>35</v>
      </c>
      <c r="Z150" s="76" t="s">
        <v>35</v>
      </c>
      <c r="AA150" s="82" t="s">
        <v>36</v>
      </c>
      <c r="AB150" s="83" t="s">
        <v>37</v>
      </c>
      <c r="AC150" s="84"/>
      <c r="AD150" s="76"/>
      <c r="AE150" s="76"/>
      <c r="AF150" s="76"/>
      <c r="AG150" s="84"/>
      <c r="AH150" s="76"/>
      <c r="AI150" s="76"/>
      <c r="AJ150" s="76"/>
      <c r="AK150" s="84"/>
      <c r="AL150" s="84"/>
      <c r="AM150" s="84"/>
      <c r="AN150" s="84"/>
      <c r="AO150" s="84"/>
    </row>
    <row r="151" spans="1:41" s="1" customFormat="1" ht="45" customHeight="1" x14ac:dyDescent="0.2">
      <c r="A151" s="75">
        <v>133</v>
      </c>
      <c r="B151" s="75"/>
      <c r="C151" s="76" t="s">
        <v>1270</v>
      </c>
      <c r="D151" s="76" t="s">
        <v>1296</v>
      </c>
      <c r="E151" s="75" t="s">
        <v>1297</v>
      </c>
      <c r="F151" s="75" t="e">
        <f t="shared" si="23"/>
        <v>#VALUE!</v>
      </c>
      <c r="G151" s="77">
        <v>0.65</v>
      </c>
      <c r="H151" s="78" t="e">
        <f t="shared" si="20"/>
        <v>#VALUE!</v>
      </c>
      <c r="I151" s="78" t="e">
        <f t="shared" si="21"/>
        <v>#VALUE!</v>
      </c>
      <c r="J151" s="75"/>
      <c r="K151" s="79">
        <f>31510.28</f>
        <v>31510.28</v>
      </c>
      <c r="L151" s="79">
        <f t="shared" si="22"/>
        <v>20481.682000000001</v>
      </c>
      <c r="M151" s="76"/>
      <c r="N151" s="75" t="s">
        <v>42</v>
      </c>
      <c r="O151" s="80" t="s">
        <v>1298</v>
      </c>
      <c r="P151" s="81">
        <v>38443</v>
      </c>
      <c r="Q151" s="80" t="s">
        <v>336</v>
      </c>
      <c r="R151" s="81"/>
      <c r="S151" s="81">
        <v>42430</v>
      </c>
      <c r="T151" s="81">
        <v>37305</v>
      </c>
      <c r="U151" s="81">
        <v>38443</v>
      </c>
      <c r="V151" s="76"/>
      <c r="W151" s="76"/>
      <c r="X151" s="5"/>
      <c r="Y151" s="5" t="s">
        <v>35</v>
      </c>
      <c r="Z151" s="76" t="s">
        <v>35</v>
      </c>
      <c r="AA151" s="82" t="s">
        <v>36</v>
      </c>
      <c r="AB151" s="83" t="s">
        <v>37</v>
      </c>
      <c r="AC151" s="84"/>
      <c r="AD151" s="76">
        <v>1</v>
      </c>
      <c r="AE151" s="76"/>
      <c r="AF151" s="76"/>
      <c r="AG151" s="84"/>
      <c r="AH151" s="76"/>
      <c r="AI151" s="76">
        <v>12</v>
      </c>
      <c r="AJ151" s="76"/>
      <c r="AK151" s="84"/>
      <c r="AL151" s="84"/>
      <c r="AM151" s="84"/>
      <c r="AN151" s="84"/>
      <c r="AO151" s="84"/>
    </row>
    <row r="152" spans="1:41" s="1" customFormat="1" ht="45" customHeight="1" x14ac:dyDescent="0.2">
      <c r="A152" s="75">
        <v>134</v>
      </c>
      <c r="B152" s="75"/>
      <c r="C152" s="76" t="s">
        <v>1270</v>
      </c>
      <c r="D152" s="76" t="s">
        <v>1299</v>
      </c>
      <c r="E152" s="75" t="s">
        <v>1300</v>
      </c>
      <c r="F152" s="75" t="e">
        <f t="shared" si="23"/>
        <v>#VALUE!</v>
      </c>
      <c r="G152" s="85">
        <v>0.77500000000000002</v>
      </c>
      <c r="H152" s="78" t="e">
        <f t="shared" si="20"/>
        <v>#VALUE!</v>
      </c>
      <c r="I152" s="78" t="e">
        <f t="shared" si="21"/>
        <v>#VALUE!</v>
      </c>
      <c r="J152" s="75" t="s">
        <v>13</v>
      </c>
      <c r="K152" s="79">
        <f>31510.28</f>
        <v>31510.28</v>
      </c>
      <c r="L152" s="79">
        <f t="shared" si="22"/>
        <v>24420.467000000001</v>
      </c>
      <c r="M152" s="76"/>
      <c r="N152" s="75" t="s">
        <v>42</v>
      </c>
      <c r="O152" s="80" t="s">
        <v>1301</v>
      </c>
      <c r="P152" s="81">
        <v>35400</v>
      </c>
      <c r="Q152" s="80" t="s">
        <v>336</v>
      </c>
      <c r="R152" s="81"/>
      <c r="S152" s="81">
        <v>40969</v>
      </c>
      <c r="T152" s="81"/>
      <c r="U152" s="81"/>
      <c r="V152" s="76"/>
      <c r="W152" s="76"/>
      <c r="X152" s="5"/>
      <c r="Y152" s="5"/>
      <c r="Z152" s="76" t="s">
        <v>1032</v>
      </c>
      <c r="AA152" s="82" t="s">
        <v>36</v>
      </c>
      <c r="AB152" s="83" t="s">
        <v>37</v>
      </c>
      <c r="AC152" s="84"/>
      <c r="AD152" s="76"/>
      <c r="AE152" s="76"/>
      <c r="AF152" s="76"/>
      <c r="AG152" s="84"/>
      <c r="AH152" s="76"/>
      <c r="AI152" s="76"/>
      <c r="AJ152" s="76"/>
      <c r="AK152" s="84"/>
      <c r="AL152" s="84"/>
      <c r="AM152" s="84"/>
      <c r="AN152" s="84"/>
      <c r="AO152" s="84"/>
    </row>
    <row r="153" spans="1:41" s="1" customFormat="1" ht="45" customHeight="1" x14ac:dyDescent="0.2">
      <c r="A153" s="75">
        <v>135</v>
      </c>
      <c r="B153" s="75"/>
      <c r="C153" s="76" t="s">
        <v>1270</v>
      </c>
      <c r="D153" s="76" t="s">
        <v>1302</v>
      </c>
      <c r="E153" s="75" t="s">
        <v>1303</v>
      </c>
      <c r="F153" s="75" t="e">
        <f t="shared" si="23"/>
        <v>#VALUE!</v>
      </c>
      <c r="G153" s="77">
        <v>0.7</v>
      </c>
      <c r="H153" s="78" t="e">
        <f t="shared" si="20"/>
        <v>#VALUE!</v>
      </c>
      <c r="I153" s="78" t="e">
        <f t="shared" si="21"/>
        <v>#VALUE!</v>
      </c>
      <c r="J153" s="75" t="s">
        <v>13</v>
      </c>
      <c r="K153" s="79">
        <f t="shared" ref="K153" si="24">31510.28</f>
        <v>31510.28</v>
      </c>
      <c r="L153" s="79">
        <f t="shared" si="22"/>
        <v>22057.195999999996</v>
      </c>
      <c r="M153" s="76"/>
      <c r="N153" s="75" t="s">
        <v>42</v>
      </c>
      <c r="O153" s="80" t="s">
        <v>1304</v>
      </c>
      <c r="P153" s="81">
        <v>36739</v>
      </c>
      <c r="Q153" s="80" t="s">
        <v>336</v>
      </c>
      <c r="R153" s="81"/>
      <c r="S153" s="81">
        <v>40969</v>
      </c>
      <c r="T153" s="81"/>
      <c r="U153" s="81"/>
      <c r="V153" s="76"/>
      <c r="W153" s="76"/>
      <c r="X153" s="5"/>
      <c r="Y153" s="5"/>
      <c r="Z153" s="76" t="s">
        <v>35</v>
      </c>
      <c r="AA153" s="82" t="s">
        <v>36</v>
      </c>
      <c r="AB153" s="83" t="s">
        <v>37</v>
      </c>
      <c r="AC153" s="84"/>
      <c r="AD153" s="76"/>
      <c r="AE153" s="76"/>
      <c r="AF153" s="76"/>
      <c r="AG153" s="84"/>
      <c r="AH153" s="76"/>
      <c r="AI153" s="76"/>
      <c r="AJ153" s="76"/>
      <c r="AK153" s="84"/>
      <c r="AL153" s="84"/>
      <c r="AM153" s="84"/>
      <c r="AN153" s="84"/>
      <c r="AO153" s="84"/>
    </row>
    <row r="154" spans="1:41" s="1" customFormat="1" ht="45" customHeight="1" x14ac:dyDescent="0.2">
      <c r="A154" s="75">
        <v>136</v>
      </c>
      <c r="B154" s="75"/>
      <c r="C154" s="76" t="s">
        <v>1270</v>
      </c>
      <c r="D154" s="76" t="s">
        <v>1305</v>
      </c>
      <c r="E154" s="75" t="s">
        <v>1306</v>
      </c>
      <c r="F154" s="75" t="e">
        <f t="shared" si="23"/>
        <v>#VALUE!</v>
      </c>
      <c r="G154" s="77">
        <v>0.7</v>
      </c>
      <c r="H154" s="78" t="e">
        <f t="shared" si="20"/>
        <v>#VALUE!</v>
      </c>
      <c r="I154" s="78" t="e">
        <f t="shared" si="21"/>
        <v>#VALUE!</v>
      </c>
      <c r="J154" s="75" t="s">
        <v>13</v>
      </c>
      <c r="K154" s="79">
        <f>31510.27</f>
        <v>31510.27</v>
      </c>
      <c r="L154" s="79">
        <f t="shared" si="22"/>
        <v>22057.188999999998</v>
      </c>
      <c r="M154" s="76"/>
      <c r="N154" s="75" t="s">
        <v>42</v>
      </c>
      <c r="O154" s="80" t="s">
        <v>1307</v>
      </c>
      <c r="P154" s="81">
        <v>37377</v>
      </c>
      <c r="Q154" s="80" t="s">
        <v>336</v>
      </c>
      <c r="R154" s="81"/>
      <c r="S154" s="81">
        <v>40603</v>
      </c>
      <c r="T154" s="81">
        <v>26762</v>
      </c>
      <c r="U154" s="81">
        <v>27590</v>
      </c>
      <c r="V154" s="76"/>
      <c r="W154" s="76"/>
      <c r="X154" s="5"/>
      <c r="Y154" s="5"/>
      <c r="Z154" s="76" t="s">
        <v>293</v>
      </c>
      <c r="AA154" s="82" t="s">
        <v>36</v>
      </c>
      <c r="AB154" s="83" t="s">
        <v>37</v>
      </c>
      <c r="AC154" s="84"/>
      <c r="AD154" s="76">
        <v>1</v>
      </c>
      <c r="AE154" s="76"/>
      <c r="AF154" s="76"/>
      <c r="AG154" s="84"/>
      <c r="AH154" s="76"/>
      <c r="AI154" s="76">
        <v>12</v>
      </c>
      <c r="AJ154" s="76"/>
      <c r="AK154" s="84"/>
      <c r="AL154" s="84"/>
      <c r="AM154" s="84"/>
      <c r="AN154" s="84"/>
      <c r="AO154" s="84"/>
    </row>
    <row r="155" spans="1:41" s="1" customFormat="1" ht="45" customHeight="1" x14ac:dyDescent="0.2">
      <c r="A155" s="75">
        <v>137</v>
      </c>
      <c r="B155" s="75"/>
      <c r="C155" s="76" t="s">
        <v>1270</v>
      </c>
      <c r="D155" s="76" t="s">
        <v>1308</v>
      </c>
      <c r="E155" s="75" t="s">
        <v>1309</v>
      </c>
      <c r="F155" s="75" t="e">
        <f t="shared" si="23"/>
        <v>#VALUE!</v>
      </c>
      <c r="G155" s="77">
        <v>0.8</v>
      </c>
      <c r="H155" s="78" t="e">
        <f t="shared" si="20"/>
        <v>#VALUE!</v>
      </c>
      <c r="I155" s="78" t="e">
        <f t="shared" si="21"/>
        <v>#VALUE!</v>
      </c>
      <c r="J155" s="75"/>
      <c r="K155" s="79">
        <f>31510.28</f>
        <v>31510.28</v>
      </c>
      <c r="L155" s="79">
        <f t="shared" si="22"/>
        <v>25208.224000000002</v>
      </c>
      <c r="M155" s="76"/>
      <c r="N155" s="75" t="s">
        <v>42</v>
      </c>
      <c r="O155" s="80" t="s">
        <v>1310</v>
      </c>
      <c r="P155" s="81">
        <v>35309</v>
      </c>
      <c r="Q155" s="80" t="s">
        <v>336</v>
      </c>
      <c r="R155" s="81"/>
      <c r="S155" s="81">
        <v>42062</v>
      </c>
      <c r="T155" s="81"/>
      <c r="U155" s="81"/>
      <c r="V155" s="76"/>
      <c r="W155" s="76"/>
      <c r="X155" s="5"/>
      <c r="Y155" s="5"/>
      <c r="Z155" s="76" t="s">
        <v>1032</v>
      </c>
      <c r="AA155" s="82" t="s">
        <v>36</v>
      </c>
      <c r="AB155" s="83" t="s">
        <v>37</v>
      </c>
      <c r="AC155" s="84"/>
      <c r="AD155" s="76"/>
      <c r="AE155" s="76"/>
      <c r="AF155" s="76"/>
      <c r="AG155" s="84"/>
      <c r="AH155" s="76"/>
      <c r="AI155" s="76"/>
      <c r="AJ155" s="76"/>
      <c r="AK155" s="84"/>
      <c r="AL155" s="84"/>
      <c r="AM155" s="84"/>
      <c r="AN155" s="84"/>
      <c r="AO155" s="84"/>
    </row>
    <row r="156" spans="1:41" s="1" customFormat="1" ht="45" customHeight="1" x14ac:dyDescent="0.2">
      <c r="A156" s="75">
        <v>138</v>
      </c>
      <c r="B156" s="75"/>
      <c r="C156" s="76" t="s">
        <v>1270</v>
      </c>
      <c r="D156" s="76" t="s">
        <v>1311</v>
      </c>
      <c r="E156" s="75" t="s">
        <v>1312</v>
      </c>
      <c r="F156" s="75" t="e">
        <f t="shared" ref="F156" si="25">DATEDIF(P156,Q156,"y") + DATEDIF(T156,U156,"y") + DATEDIF(V156,W156,"y") + SUM(AD156) &amp; " años " &amp; DATEDIF(P156,Q156,"ym") + DATEDIF(T156,U156,"ym") + DATEDIF(V156,W156,"ym") + SUM(AE156) - SUM(AI156) &amp; " meses " &amp; DATEDIF(P156,Q156,"md") + DATEDIF(T156,U156,"md") + DATEDIF(V156,W156,"md") - SUM(AJ156) &amp; " días"</f>
        <v>#VALUE!</v>
      </c>
      <c r="G156" s="77">
        <v>0.65</v>
      </c>
      <c r="H156" s="78" t="e">
        <f t="shared" si="20"/>
        <v>#VALUE!</v>
      </c>
      <c r="I156" s="78" t="e">
        <f t="shared" si="21"/>
        <v>#VALUE!</v>
      </c>
      <c r="J156" s="75" t="s">
        <v>13</v>
      </c>
      <c r="K156" s="79">
        <f>31510.28</f>
        <v>31510.28</v>
      </c>
      <c r="L156" s="79">
        <f t="shared" si="22"/>
        <v>20481.682000000001</v>
      </c>
      <c r="M156" s="76"/>
      <c r="N156" s="75" t="s">
        <v>42</v>
      </c>
      <c r="O156" s="80" t="s">
        <v>1313</v>
      </c>
      <c r="P156" s="81">
        <v>37408</v>
      </c>
      <c r="Q156" s="80" t="s">
        <v>336</v>
      </c>
      <c r="R156" s="81"/>
      <c r="S156" s="81">
        <v>40969</v>
      </c>
      <c r="T156" s="81"/>
      <c r="U156" s="81"/>
      <c r="V156" s="76"/>
      <c r="W156" s="76"/>
      <c r="X156" s="5" t="s">
        <v>1027</v>
      </c>
      <c r="Y156" s="5"/>
      <c r="Z156" s="76" t="s">
        <v>129</v>
      </c>
      <c r="AA156" s="82" t="s">
        <v>36</v>
      </c>
      <c r="AB156" s="83" t="s">
        <v>37</v>
      </c>
      <c r="AC156" s="84"/>
      <c r="AD156" s="76"/>
      <c r="AE156" s="76"/>
      <c r="AF156" s="76"/>
      <c r="AG156" s="84"/>
      <c r="AH156" s="76"/>
      <c r="AI156" s="76"/>
      <c r="AJ156" s="76"/>
      <c r="AK156" s="84"/>
      <c r="AL156" s="84"/>
      <c r="AM156" s="84"/>
      <c r="AN156" s="84"/>
      <c r="AO156" s="84"/>
    </row>
    <row r="157" spans="1:41" s="1" customFormat="1" ht="45" customHeight="1" x14ac:dyDescent="0.2">
      <c r="A157" s="75">
        <v>139</v>
      </c>
      <c r="B157" s="75"/>
      <c r="C157" s="76" t="s">
        <v>1314</v>
      </c>
      <c r="D157" s="76" t="s">
        <v>1315</v>
      </c>
      <c r="E157" s="75" t="s">
        <v>1316</v>
      </c>
      <c r="F157" s="75" t="e">
        <f>DATEDIF(P157,Q157,"y") + DATEDIF(T157,U157,"y") + DATEDIF(V157,W157,"y") + SUM(AD157) &amp; " años " &amp; DATEDIF(P157,Q157,"ym") + DATEDIF(T157,U157,"ym") + DATEDIF(V157,W157,"ym") + SUM(AE157) - SUM(AI157) &amp; " meses " &amp; DATEDIF(P157,Q157,"md") + DATEDIF(T157,U157,"md") + DATEDIF(V157,W157,"md") - SUM(AJ157) &amp; " días"</f>
        <v>#VALUE!</v>
      </c>
      <c r="G157" s="77">
        <v>0.75</v>
      </c>
      <c r="H157" s="78" t="e">
        <f>DATEDIF(R157,Q157,"y") &amp; " años " &amp; DATEDIF(R157,Q157,"ym") &amp; " meses " &amp; DATEDIF(R157,Q157,"md") &amp; " días"</f>
        <v>#VALUE!</v>
      </c>
      <c r="I157" s="78" t="e">
        <f>DATEDIF(S157,Q157,"y") &amp; " años " &amp; DATEDIF(S157,Q157,"ym") &amp; " meses " &amp; DATEDIF(S157,Q157,"md") &amp; " días"</f>
        <v>#VALUE!</v>
      </c>
      <c r="J157" s="75"/>
      <c r="K157" s="79">
        <f>30394.94</f>
        <v>30394.94</v>
      </c>
      <c r="L157" s="79">
        <f>K157*G157</f>
        <v>22796.204999999998</v>
      </c>
      <c r="M157" s="76"/>
      <c r="N157" s="75" t="s">
        <v>42</v>
      </c>
      <c r="O157" s="80" t="s">
        <v>1317</v>
      </c>
      <c r="P157" s="81">
        <v>41000</v>
      </c>
      <c r="Q157" s="80" t="s">
        <v>336</v>
      </c>
      <c r="R157" s="81"/>
      <c r="S157" s="81">
        <v>42795</v>
      </c>
      <c r="T157" s="81">
        <v>35735</v>
      </c>
      <c r="U157" s="81">
        <v>41000</v>
      </c>
      <c r="V157" s="76"/>
      <c r="W157" s="76"/>
      <c r="X157" s="5"/>
      <c r="Y157" s="5"/>
      <c r="Z157" s="76" t="s">
        <v>190</v>
      </c>
      <c r="AA157" s="82" t="s">
        <v>36</v>
      </c>
      <c r="AB157" s="83" t="s">
        <v>37</v>
      </c>
      <c r="AC157" s="84"/>
      <c r="AD157" s="76">
        <v>1</v>
      </c>
      <c r="AE157" s="76"/>
      <c r="AF157" s="76"/>
      <c r="AG157" s="84"/>
      <c r="AH157" s="76"/>
      <c r="AI157" s="76">
        <v>12</v>
      </c>
      <c r="AJ157" s="76"/>
      <c r="AK157" s="84"/>
      <c r="AL157" s="84"/>
      <c r="AM157" s="84"/>
      <c r="AN157" s="84"/>
      <c r="AO157" s="84"/>
    </row>
    <row r="158" spans="1:41" s="1" customFormat="1" ht="45" customHeight="1" x14ac:dyDescent="0.2">
      <c r="A158" s="75">
        <v>140</v>
      </c>
      <c r="B158" s="75"/>
      <c r="C158" s="76" t="s">
        <v>1314</v>
      </c>
      <c r="D158" s="76" t="s">
        <v>1318</v>
      </c>
      <c r="E158" s="75" t="s">
        <v>1319</v>
      </c>
      <c r="F158" s="75" t="e">
        <f>DATEDIF(P158,Q158,"y") + DATEDIF(T158,U158,"y") + DATEDIF(V158,W158,"y") + SUM(AD158) &amp; " años " &amp; DATEDIF(P158,Q158,"ym") + DATEDIF(T158,U158,"ym") + DATEDIF(V158,W158,"ym") + SUM(AE158) - SUM(AI158) &amp; " meses " &amp; DATEDIF(P158,Q158,"md") + DATEDIF(T158,U158,"md") + DATEDIF(V158,W158,"md") - SUM(AJ158) &amp; " días"</f>
        <v>#VALUE!</v>
      </c>
      <c r="G158" s="85">
        <v>0.72499999999999998</v>
      </c>
      <c r="H158" s="78" t="e">
        <f>DATEDIF(R158,Q158,"y") &amp; " años " &amp; DATEDIF(R158,Q158,"ym") &amp; " meses " &amp; DATEDIF(R158,Q158,"md") &amp; " días"</f>
        <v>#VALUE!</v>
      </c>
      <c r="I158" s="78" t="e">
        <f>DATEDIF(S158,Q158,"y") &amp; " años " &amp; DATEDIF(S158,Q158,"ym") &amp; " meses " &amp; DATEDIF(S158,Q158,"md") &amp; " días"</f>
        <v>#VALUE!</v>
      </c>
      <c r="J158" s="75" t="s">
        <v>13</v>
      </c>
      <c r="K158" s="79">
        <f>30394.94</f>
        <v>30394.94</v>
      </c>
      <c r="L158" s="79">
        <f>K158*G158</f>
        <v>22036.331499999997</v>
      </c>
      <c r="M158" s="76"/>
      <c r="N158" s="75" t="s">
        <v>42</v>
      </c>
      <c r="O158" s="80" t="s">
        <v>1320</v>
      </c>
      <c r="P158" s="81">
        <v>37438</v>
      </c>
      <c r="Q158" s="80" t="s">
        <v>336</v>
      </c>
      <c r="R158" s="81"/>
      <c r="S158" s="81">
        <v>40603</v>
      </c>
      <c r="T158" s="81">
        <v>34851</v>
      </c>
      <c r="U158" s="81">
        <v>36075</v>
      </c>
      <c r="V158" s="76"/>
      <c r="W158" s="76"/>
      <c r="X158" s="5"/>
      <c r="Y158" s="5"/>
      <c r="Z158" s="76" t="s">
        <v>190</v>
      </c>
      <c r="AA158" s="82" t="s">
        <v>36</v>
      </c>
      <c r="AB158" s="83" t="s">
        <v>37</v>
      </c>
      <c r="AC158" s="84"/>
      <c r="AD158" s="76">
        <v>1</v>
      </c>
      <c r="AE158" s="76"/>
      <c r="AF158" s="76"/>
      <c r="AG158" s="84"/>
      <c r="AH158" s="76"/>
      <c r="AI158" s="76">
        <v>12</v>
      </c>
      <c r="AJ158" s="76"/>
      <c r="AK158" s="84"/>
      <c r="AL158" s="84"/>
      <c r="AM158" s="84"/>
      <c r="AN158" s="84"/>
      <c r="AO158" s="84"/>
    </row>
    <row r="159" spans="1:41" s="1" customFormat="1" ht="45" customHeight="1" x14ac:dyDescent="0.2">
      <c r="A159" s="75">
        <v>141</v>
      </c>
      <c r="B159" s="75"/>
      <c r="C159" s="76" t="s">
        <v>1314</v>
      </c>
      <c r="D159" s="76" t="s">
        <v>1321</v>
      </c>
      <c r="E159" s="75" t="s">
        <v>1322</v>
      </c>
      <c r="F159" s="75" t="e">
        <f>DATEDIF(P159,Q159,"y") + DATEDIF(T159,U159,"y") + DATEDIF(V159,W159,"y") + SUM(AD159) &amp; " años " &amp; DATEDIF(P159,Q159,"ym") + DATEDIF(T159,U159,"ym") + DATEDIF(V159,W159,"ym") + SUM(AE159) - SUM(AI159) &amp; " meses " &amp; DATEDIF(P159,Q159,"md") + DATEDIF(T159,U159,"md") + DATEDIF(V159,W159,"md") - SUM(AJ159) &amp; " días"</f>
        <v>#VALUE!</v>
      </c>
      <c r="G159" s="85">
        <v>1</v>
      </c>
      <c r="H159" s="78" t="e">
        <f>DATEDIF(R159,Q159,"y") &amp; " años " &amp; DATEDIF(R159,Q159,"ym") &amp; " meses " &amp; DATEDIF(R159,Q159,"md") &amp; " días"</f>
        <v>#VALUE!</v>
      </c>
      <c r="I159" s="78" t="e">
        <f>DATEDIF(S159,Q159,"y") &amp; " años " &amp; DATEDIF(S159,Q159,"ym") &amp; " meses " &amp; DATEDIF(S159,Q159,"md") &amp; " días"</f>
        <v>#VALUE!</v>
      </c>
      <c r="J159" s="75"/>
      <c r="K159" s="79">
        <f>30394.94</f>
        <v>30394.94</v>
      </c>
      <c r="L159" s="79">
        <f>K159*G159</f>
        <v>30394.94</v>
      </c>
      <c r="M159" s="76" t="s">
        <v>1323</v>
      </c>
      <c r="N159" s="75" t="s">
        <v>33</v>
      </c>
      <c r="O159" s="80" t="s">
        <v>1324</v>
      </c>
      <c r="P159" s="81">
        <v>38814</v>
      </c>
      <c r="Q159" s="80" t="s">
        <v>1951</v>
      </c>
      <c r="R159" s="76" t="s">
        <v>1323</v>
      </c>
      <c r="S159" s="81">
        <v>42430</v>
      </c>
      <c r="T159" s="81"/>
      <c r="U159" s="81"/>
      <c r="V159" s="76"/>
      <c r="W159" s="76"/>
      <c r="X159" s="5" t="s">
        <v>1027</v>
      </c>
      <c r="Y159" s="5"/>
      <c r="Z159" s="76" t="s">
        <v>48</v>
      </c>
      <c r="AA159" s="82" t="s">
        <v>36</v>
      </c>
      <c r="AB159" s="83" t="s">
        <v>37</v>
      </c>
      <c r="AC159" s="84"/>
      <c r="AD159" s="76"/>
      <c r="AE159" s="76"/>
      <c r="AF159" s="76"/>
      <c r="AG159" s="84"/>
      <c r="AH159" s="76"/>
      <c r="AI159" s="76"/>
      <c r="AJ159" s="76"/>
      <c r="AK159" s="84"/>
      <c r="AL159" s="84"/>
      <c r="AM159" s="84"/>
      <c r="AN159" s="84"/>
      <c r="AO159" s="84"/>
    </row>
    <row r="160" spans="1:41" s="1" customFormat="1" ht="45" customHeight="1" x14ac:dyDescent="0.2">
      <c r="A160" s="75">
        <v>142</v>
      </c>
      <c r="B160" s="75"/>
      <c r="C160" s="76" t="s">
        <v>300</v>
      </c>
      <c r="D160" s="76" t="s">
        <v>1325</v>
      </c>
      <c r="E160" s="75" t="s">
        <v>1326</v>
      </c>
      <c r="F160" s="75" t="e">
        <f>DATEDIF(P160,Q160,"y") + DATEDIF(T160,U160,"y") + DATEDIF(V160,W160,"y") + SUM(AD160) &amp; " años " &amp; DATEDIF(P160,Q160,"ym") + DATEDIF(T160,U160,"ym") + DATEDIF(V160,W160,"ym") + SUM(AE160) - SUM(AI160) &amp; " meses " &amp; DATEDIF(P160,Q160,"md") + DATEDIF(T160,U160,"md") + DATEDIF(V160,W160,"md") - SUM(AJ160) &amp; " días"</f>
        <v>#VALUE!</v>
      </c>
      <c r="G160" s="77">
        <v>0.91</v>
      </c>
      <c r="H160" s="78" t="e">
        <f>DATEDIF(R160,Q160,"y") &amp; " años " &amp; DATEDIF(R160,Q160,"ym") &amp; " meses " &amp; DATEDIF(R160,Q160,"md") &amp; " días"</f>
        <v>#VALUE!</v>
      </c>
      <c r="I160" s="78"/>
      <c r="J160" s="75"/>
      <c r="K160" s="79">
        <v>14702.21</v>
      </c>
      <c r="L160" s="79">
        <f>K160*G160</f>
        <v>13379.0111</v>
      </c>
      <c r="M160" s="76"/>
      <c r="N160" s="75" t="s">
        <v>298</v>
      </c>
      <c r="O160" s="80" t="s">
        <v>1327</v>
      </c>
      <c r="P160" s="81">
        <v>37663</v>
      </c>
      <c r="Q160" s="80" t="s">
        <v>336</v>
      </c>
      <c r="R160" s="81"/>
      <c r="S160" s="81"/>
      <c r="T160" s="81">
        <v>31469</v>
      </c>
      <c r="U160" s="81">
        <v>33854</v>
      </c>
      <c r="V160" s="76">
        <v>35217</v>
      </c>
      <c r="W160" s="76">
        <v>36704</v>
      </c>
      <c r="X160" s="5"/>
      <c r="Y160" s="5"/>
      <c r="Z160" s="76" t="s">
        <v>190</v>
      </c>
      <c r="AA160" s="82" t="s">
        <v>36</v>
      </c>
      <c r="AB160" s="83" t="s">
        <v>37</v>
      </c>
      <c r="AC160" s="84"/>
      <c r="AD160" s="76"/>
      <c r="AE160" s="76">
        <v>1</v>
      </c>
      <c r="AF160" s="76"/>
      <c r="AG160" s="84"/>
      <c r="AH160" s="76"/>
      <c r="AI160" s="76"/>
      <c r="AJ160" s="76">
        <v>30</v>
      </c>
      <c r="AK160" s="84"/>
      <c r="AL160" s="84"/>
      <c r="AM160" s="84"/>
      <c r="AN160" s="84"/>
      <c r="AO160" s="84"/>
    </row>
    <row r="161" spans="1:41" s="1" customFormat="1" ht="45" customHeight="1" x14ac:dyDescent="0.2">
      <c r="A161" s="75">
        <v>143</v>
      </c>
      <c r="B161" s="75"/>
      <c r="C161" s="76" t="s">
        <v>300</v>
      </c>
      <c r="D161" s="76" t="s">
        <v>1328</v>
      </c>
      <c r="E161" s="75" t="s">
        <v>1329</v>
      </c>
      <c r="F161" s="75" t="e">
        <f>DATEDIF(P161,Q161,"y") + DATEDIF(T161,U161,"y") + DATEDIF(V161,W161,"y") + SUM(AD161) &amp; " años " &amp; DATEDIF(P161,Q161,"ym") + DATEDIF(T161,U161,"ym") + DATEDIF(V161,W161,"ym") + SUM(AE161) - SUM(AI161) &amp; " meses " &amp; DATEDIF(P161,Q161,"md") + DATEDIF(T161,U161,"md") + DATEDIF(V161,W161,"md") - SUM(AJ161) &amp; " días"</f>
        <v>#VALUE!</v>
      </c>
      <c r="G161" s="85">
        <v>0.625</v>
      </c>
      <c r="H161" s="78" t="e">
        <f>DATEDIF(R161,Q161,"y") &amp; " años " &amp; DATEDIF(R161,Q161,"ym") &amp; " meses " &amp; DATEDIF(R161,Q161,"md") &amp; " días"</f>
        <v>#VALUE!</v>
      </c>
      <c r="I161" s="78"/>
      <c r="J161" s="75"/>
      <c r="K161" s="79">
        <v>12500</v>
      </c>
      <c r="L161" s="79">
        <v>10000</v>
      </c>
      <c r="M161" s="76"/>
      <c r="N161" s="75" t="s">
        <v>298</v>
      </c>
      <c r="O161" s="80" t="s">
        <v>1330</v>
      </c>
      <c r="P161" s="81">
        <v>37532</v>
      </c>
      <c r="Q161" s="80" t="s">
        <v>336</v>
      </c>
      <c r="R161" s="81"/>
      <c r="S161" s="81"/>
      <c r="T161" s="81"/>
      <c r="U161" s="81"/>
      <c r="V161" s="76"/>
      <c r="W161" s="76"/>
      <c r="X161" s="5"/>
      <c r="Y161" s="5" t="s">
        <v>35</v>
      </c>
      <c r="Z161" s="76" t="s">
        <v>268</v>
      </c>
      <c r="AA161" s="82" t="s">
        <v>36</v>
      </c>
      <c r="AB161" s="83" t="s">
        <v>37</v>
      </c>
      <c r="AC161" s="84"/>
      <c r="AD161" s="76"/>
      <c r="AE161" s="76"/>
      <c r="AF161" s="76"/>
      <c r="AG161" s="84"/>
      <c r="AH161" s="76"/>
      <c r="AI161" s="76"/>
      <c r="AJ161" s="76"/>
      <c r="AK161" s="84"/>
      <c r="AL161" s="84"/>
      <c r="AM161" s="84"/>
      <c r="AN161" s="84"/>
      <c r="AO161" s="84"/>
    </row>
    <row r="163" spans="1:41" s="91" customFormat="1" ht="15" hidden="1" customHeight="1" x14ac:dyDescent="0.25">
      <c r="A163" s="184" t="s">
        <v>184</v>
      </c>
      <c r="B163" s="185"/>
      <c r="C163" s="185"/>
      <c r="D163" s="185"/>
      <c r="E163" s="185"/>
      <c r="F163" s="185"/>
      <c r="G163" s="185"/>
      <c r="H163" s="185"/>
      <c r="I163" s="185"/>
      <c r="J163" s="185"/>
      <c r="K163" s="185"/>
      <c r="L163" s="185"/>
      <c r="M163" s="185"/>
      <c r="N163" s="186"/>
      <c r="O163" s="106"/>
      <c r="P163" s="107"/>
      <c r="Q163" s="107"/>
      <c r="R163" s="107"/>
      <c r="S163" s="90"/>
      <c r="T163" s="90"/>
      <c r="Z163" s="52"/>
      <c r="AA163" s="52"/>
      <c r="AB163" s="52"/>
      <c r="AD163" s="92"/>
      <c r="AG163" s="93"/>
      <c r="AH163" s="187" t="s">
        <v>2</v>
      </c>
      <c r="AI163" s="188"/>
      <c r="AJ163" s="189"/>
      <c r="AL163" s="187" t="s">
        <v>3</v>
      </c>
      <c r="AM163" s="188"/>
      <c r="AN163" s="189"/>
    </row>
    <row r="164" spans="1:41" s="104" customFormat="1" ht="42.75" hidden="1" customHeight="1" x14ac:dyDescent="0.25">
      <c r="A164" s="94" t="s">
        <v>4</v>
      </c>
      <c r="B164" s="94" t="s">
        <v>5</v>
      </c>
      <c r="C164" s="95" t="s">
        <v>6</v>
      </c>
      <c r="D164" s="95" t="s">
        <v>7</v>
      </c>
      <c r="E164" s="94" t="s">
        <v>8</v>
      </c>
      <c r="F164" s="96" t="s">
        <v>9</v>
      </c>
      <c r="G164" s="96" t="s">
        <v>10</v>
      </c>
      <c r="H164" s="95" t="s">
        <v>11</v>
      </c>
      <c r="I164" s="97" t="s">
        <v>12</v>
      </c>
      <c r="J164" s="182" t="s">
        <v>1952</v>
      </c>
      <c r="K164" s="183"/>
      <c r="L164" s="95"/>
      <c r="M164" s="99" t="s">
        <v>15</v>
      </c>
      <c r="N164" s="99" t="s">
        <v>16</v>
      </c>
      <c r="O164" s="99"/>
      <c r="P164" s="99"/>
      <c r="Q164" s="99"/>
      <c r="R164" s="99"/>
      <c r="S164" s="99" t="s">
        <v>19</v>
      </c>
      <c r="T164" s="99" t="s">
        <v>20</v>
      </c>
      <c r="U164" s="99" t="s">
        <v>21</v>
      </c>
      <c r="V164" s="99" t="s">
        <v>13</v>
      </c>
      <c r="W164" s="99" t="s">
        <v>19</v>
      </c>
      <c r="X164" s="99" t="s">
        <v>20</v>
      </c>
      <c r="Y164" s="99" t="s">
        <v>19</v>
      </c>
      <c r="Z164" s="99" t="s">
        <v>20</v>
      </c>
      <c r="AA164" s="52"/>
      <c r="AB164" s="52"/>
      <c r="AC164" s="102"/>
      <c r="AD164" s="108" t="s">
        <v>22</v>
      </c>
      <c r="AE164" s="108" t="s">
        <v>23</v>
      </c>
      <c r="AF164" s="108" t="s">
        <v>24</v>
      </c>
      <c r="AG164" s="93"/>
      <c r="AH164" s="109" t="s">
        <v>25</v>
      </c>
      <c r="AI164" s="109" t="s">
        <v>26</v>
      </c>
      <c r="AJ164" s="109" t="s">
        <v>27</v>
      </c>
      <c r="AK164" s="93"/>
      <c r="AL164" s="109" t="s">
        <v>25</v>
      </c>
      <c r="AM164" s="109" t="s">
        <v>26</v>
      </c>
      <c r="AN164" s="109" t="s">
        <v>28</v>
      </c>
    </row>
    <row r="165" spans="1:41" s="93" customFormat="1" ht="15" hidden="1" customHeight="1" x14ac:dyDescent="0.25">
      <c r="A165" s="110">
        <v>0</v>
      </c>
      <c r="B165" s="110"/>
      <c r="C165" s="111"/>
      <c r="D165" s="112"/>
      <c r="E165" s="113"/>
      <c r="F165" s="110"/>
      <c r="G165" s="114"/>
      <c r="H165" s="110"/>
      <c r="I165" s="110"/>
      <c r="J165" s="190"/>
      <c r="K165" s="190"/>
      <c r="L165" s="115"/>
      <c r="M165" s="115"/>
      <c r="N165" s="115"/>
      <c r="O165" s="115"/>
      <c r="P165" s="115"/>
      <c r="Q165" s="115"/>
      <c r="R165" s="115"/>
      <c r="S165" s="116"/>
      <c r="T165" s="116"/>
      <c r="U165" s="116"/>
      <c r="V165" s="116"/>
      <c r="W165" s="116"/>
      <c r="X165" s="116"/>
      <c r="Y165" s="116"/>
      <c r="Z165" s="116"/>
      <c r="AA165" s="52"/>
      <c r="AB165" s="52"/>
      <c r="AC165" s="117"/>
      <c r="AD165" s="118"/>
      <c r="AE165" s="119"/>
      <c r="AF165" s="120"/>
      <c r="AH165" s="118"/>
      <c r="AI165" s="118"/>
      <c r="AJ165" s="118"/>
      <c r="AL165" s="118"/>
      <c r="AM165" s="118"/>
      <c r="AN165" s="118"/>
    </row>
    <row r="166" spans="1:41" s="129" customFormat="1" ht="15" hidden="1" customHeight="1" x14ac:dyDescent="0.25">
      <c r="A166" s="192" t="s">
        <v>1953</v>
      </c>
      <c r="B166" s="193"/>
      <c r="C166" s="193"/>
      <c r="D166" s="193"/>
      <c r="E166" s="193"/>
      <c r="F166" s="193"/>
      <c r="G166" s="194"/>
      <c r="H166" s="121">
        <f>A165</f>
        <v>0</v>
      </c>
      <c r="I166" s="192" t="s">
        <v>1954</v>
      </c>
      <c r="J166" s="193"/>
      <c r="K166" s="193"/>
      <c r="L166" s="194"/>
      <c r="M166" s="122">
        <f>SUM(M165)</f>
        <v>0</v>
      </c>
      <c r="N166" s="123"/>
      <c r="O166" s="123"/>
      <c r="P166" s="123"/>
      <c r="Q166" s="124"/>
      <c r="R166" s="124"/>
      <c r="S166" s="125"/>
      <c r="T166" s="125"/>
      <c r="U166" s="126"/>
      <c r="V166" s="127"/>
      <c r="W166" s="127"/>
      <c r="X166" s="127"/>
      <c r="Y166" s="127"/>
      <c r="Z166" s="127"/>
      <c r="AA166" s="52"/>
      <c r="AB166" s="52"/>
      <c r="AC166" s="127"/>
      <c r="AD166" s="128"/>
      <c r="AE166" s="127"/>
      <c r="AF166" s="127"/>
      <c r="AG166" s="93"/>
    </row>
    <row r="167" spans="1:41" hidden="1" x14ac:dyDescent="0.25"/>
    <row r="168" spans="1:41" s="91" customFormat="1" x14ac:dyDescent="0.25">
      <c r="A168" s="191" t="s">
        <v>184</v>
      </c>
      <c r="B168" s="191"/>
      <c r="C168" s="191"/>
      <c r="D168" s="191"/>
      <c r="E168" s="191"/>
      <c r="F168" s="191"/>
      <c r="G168" s="191"/>
      <c r="H168" s="191"/>
      <c r="I168" s="191"/>
      <c r="J168" s="191"/>
      <c r="K168" s="138"/>
      <c r="L168" s="138"/>
      <c r="M168" s="138"/>
      <c r="N168" s="138"/>
      <c r="O168" s="138"/>
      <c r="P168" s="138"/>
      <c r="Q168" s="138"/>
      <c r="R168" s="138"/>
      <c r="S168" s="90"/>
      <c r="T168" s="90"/>
      <c r="Z168" s="52"/>
      <c r="AA168" s="52"/>
      <c r="AB168" s="52"/>
      <c r="AD168" s="92"/>
      <c r="AG168" s="93"/>
      <c r="AH168" s="181" t="s">
        <v>2</v>
      </c>
      <c r="AI168" s="181"/>
      <c r="AJ168" s="181"/>
      <c r="AL168" s="181" t="s">
        <v>3</v>
      </c>
      <c r="AM168" s="181"/>
      <c r="AN168" s="181"/>
    </row>
    <row r="169" spans="1:41" s="104" customFormat="1" ht="30" customHeight="1" x14ac:dyDescent="0.25">
      <c r="A169" s="94" t="s">
        <v>4</v>
      </c>
      <c r="B169" s="94" t="s">
        <v>5</v>
      </c>
      <c r="C169" s="95" t="s">
        <v>6</v>
      </c>
      <c r="D169" s="95" t="s">
        <v>7</v>
      </c>
      <c r="E169" s="94" t="s">
        <v>8</v>
      </c>
      <c r="F169" s="96" t="s">
        <v>9</v>
      </c>
      <c r="G169" s="96" t="s">
        <v>10</v>
      </c>
      <c r="H169" s="95" t="s">
        <v>11</v>
      </c>
      <c r="I169" s="97" t="s">
        <v>12</v>
      </c>
      <c r="J169" s="182" t="s">
        <v>13</v>
      </c>
      <c r="K169" s="183"/>
      <c r="L169" s="98" t="s">
        <v>14</v>
      </c>
      <c r="M169" s="99" t="s">
        <v>15</v>
      </c>
      <c r="N169" s="99" t="s">
        <v>17</v>
      </c>
      <c r="O169" s="99" t="s">
        <v>18</v>
      </c>
      <c r="P169" s="99" t="s">
        <v>18</v>
      </c>
      <c r="Q169" s="99" t="s">
        <v>335</v>
      </c>
      <c r="R169" s="99" t="s">
        <v>1950</v>
      </c>
      <c r="S169" s="100" t="s">
        <v>19</v>
      </c>
      <c r="T169" s="100" t="s">
        <v>20</v>
      </c>
      <c r="U169" s="101" t="s">
        <v>21</v>
      </c>
      <c r="V169" s="95" t="s">
        <v>13</v>
      </c>
      <c r="W169" s="100" t="s">
        <v>19</v>
      </c>
      <c r="X169" s="100" t="s">
        <v>20</v>
      </c>
      <c r="Y169" s="100" t="s">
        <v>19</v>
      </c>
      <c r="Z169" s="100" t="s">
        <v>20</v>
      </c>
      <c r="AA169" s="52"/>
      <c r="AB169" s="52"/>
      <c r="AC169" s="102"/>
      <c r="AD169" s="100" t="s">
        <v>22</v>
      </c>
      <c r="AE169" s="100" t="s">
        <v>23</v>
      </c>
      <c r="AF169" s="100" t="s">
        <v>24</v>
      </c>
      <c r="AG169" s="93"/>
      <c r="AH169" s="103" t="s">
        <v>25</v>
      </c>
      <c r="AI169" s="103" t="s">
        <v>26</v>
      </c>
      <c r="AJ169" s="103" t="s">
        <v>27</v>
      </c>
      <c r="AK169" s="93"/>
      <c r="AL169" s="103" t="s">
        <v>25</v>
      </c>
      <c r="AM169" s="103" t="s">
        <v>26</v>
      </c>
      <c r="AN169" s="103" t="s">
        <v>28</v>
      </c>
    </row>
    <row r="170" spans="1:41" s="1" customFormat="1" ht="45" customHeight="1" x14ac:dyDescent="0.2">
      <c r="A170" s="75">
        <v>1</v>
      </c>
      <c r="B170" s="75"/>
      <c r="C170" s="76" t="s">
        <v>1331</v>
      </c>
      <c r="D170" s="76" t="s">
        <v>1332</v>
      </c>
      <c r="E170" s="75" t="s">
        <v>1333</v>
      </c>
      <c r="F170" s="75" t="e">
        <f>DATEDIF(P170,Q170,"y") + DATEDIF(T170,U170,"y") + DATEDIF(V170,W170,"y") + SUM(AD170) &amp; " años " &amp; DATEDIF(P170,Q170,"ym") + DATEDIF(T170,U170,"ym") + DATEDIF(V170,W170,"ym") + SUM(AE170) - SUM(AI170) &amp; " meses " &amp; DATEDIF(P170,Q170,"md") + DATEDIF(T170,U170,"md") + DATEDIF(V170,W170,"md") - SUM(AJ170) &amp; " días"</f>
        <v>#VALUE!</v>
      </c>
      <c r="G170" s="77">
        <v>1</v>
      </c>
      <c r="H170" s="78" t="e">
        <f t="shared" ref="H170:H233" si="26">DATEDIF(R170,Q170,"y") &amp; " años " &amp; DATEDIF(R170,Q170,"ym") &amp; " meses " &amp; DATEDIF(R170,Q170,"md") &amp; " días"</f>
        <v>#VALUE!</v>
      </c>
      <c r="I170" s="78" t="e">
        <f t="shared" ref="I170:I226" si="27">DATEDIF(S170,Q170,"y") &amp; " años " &amp; DATEDIF(S170,Q170,"ym") &amp; " meses " &amp; DATEDIF(S170,Q170,"md") &amp; " días"</f>
        <v>#VALUE!</v>
      </c>
      <c r="J170" s="75"/>
      <c r="K170" s="79">
        <v>225000</v>
      </c>
      <c r="L170" s="79">
        <f t="shared" ref="L170:L226" si="28">K170*G170</f>
        <v>225000</v>
      </c>
      <c r="M170" s="76"/>
      <c r="N170" s="75" t="s">
        <v>42</v>
      </c>
      <c r="O170" s="80" t="s">
        <v>1334</v>
      </c>
      <c r="P170" s="81">
        <v>39311</v>
      </c>
      <c r="Q170" s="80" t="s">
        <v>1958</v>
      </c>
      <c r="R170" s="81"/>
      <c r="S170" s="81">
        <v>44789</v>
      </c>
      <c r="T170" s="81">
        <v>29495</v>
      </c>
      <c r="U170" s="81">
        <v>38218</v>
      </c>
      <c r="V170" s="76"/>
      <c r="W170" s="76"/>
      <c r="X170" s="5"/>
      <c r="Y170" s="5"/>
      <c r="Z170" s="76" t="s">
        <v>1259</v>
      </c>
      <c r="AA170" s="82" t="s">
        <v>36</v>
      </c>
      <c r="AB170" s="83" t="s">
        <v>37</v>
      </c>
      <c r="AC170" s="84"/>
      <c r="AD170" s="76">
        <v>1</v>
      </c>
      <c r="AE170" s="76">
        <v>1</v>
      </c>
      <c r="AF170" s="76"/>
      <c r="AG170" s="84"/>
      <c r="AH170" s="76"/>
      <c r="AI170" s="76">
        <v>12</v>
      </c>
      <c r="AJ170" s="76">
        <v>30</v>
      </c>
      <c r="AK170" s="84"/>
      <c r="AL170" s="84"/>
      <c r="AM170" s="84"/>
      <c r="AN170" s="84"/>
      <c r="AO170" s="84"/>
    </row>
    <row r="171" spans="1:41" s="1" customFormat="1" ht="45" customHeight="1" x14ac:dyDescent="0.2">
      <c r="A171" s="75">
        <v>2</v>
      </c>
      <c r="B171" s="75"/>
      <c r="C171" s="76" t="s">
        <v>1335</v>
      </c>
      <c r="D171" s="76" t="s">
        <v>1336</v>
      </c>
      <c r="E171" s="75" t="s">
        <v>1337</v>
      </c>
      <c r="F171" s="75" t="e">
        <f>DATEDIF(P171,Q171,"y") + DATEDIF(T171,U171,"y") + DATEDIF(V171,W171,"y") + SUM(AD171) &amp; " años " &amp; DATEDIF(P171,Q171,"ym") + DATEDIF(T171,U171,"ym") + DATEDIF(V171,W171,"ym") + SUM(AE171) - SUM(AI171) &amp; " meses " &amp; DATEDIF(P171,Q171,"md") + DATEDIF(T171,U171,"md") + DATEDIF(V171,W171,"md") - SUM(AJ171) &amp; " días"</f>
        <v>#VALUE!</v>
      </c>
      <c r="G171" s="77">
        <v>1</v>
      </c>
      <c r="H171" s="78" t="e">
        <f t="shared" si="26"/>
        <v>#VALUE!</v>
      </c>
      <c r="I171" s="78" t="e">
        <f t="shared" si="27"/>
        <v>#VALUE!</v>
      </c>
      <c r="J171" s="75"/>
      <c r="K171" s="79">
        <v>50275.72</v>
      </c>
      <c r="L171" s="79">
        <f t="shared" si="28"/>
        <v>50275.72</v>
      </c>
      <c r="M171" s="76"/>
      <c r="N171" s="75" t="s">
        <v>42</v>
      </c>
      <c r="O171" s="80" t="s">
        <v>1338</v>
      </c>
      <c r="P171" s="81">
        <v>31291</v>
      </c>
      <c r="Q171" s="80" t="s">
        <v>336</v>
      </c>
      <c r="R171" s="81"/>
      <c r="S171" s="81">
        <v>42427</v>
      </c>
      <c r="T171" s="81"/>
      <c r="U171" s="81"/>
      <c r="V171" s="76"/>
      <c r="W171" s="76"/>
      <c r="X171" s="5"/>
      <c r="Y171" s="5"/>
      <c r="Z171" s="76" t="s">
        <v>134</v>
      </c>
      <c r="AA171" s="82" t="s">
        <v>36</v>
      </c>
      <c r="AB171" s="83" t="s">
        <v>37</v>
      </c>
      <c r="AC171" s="84"/>
      <c r="AD171" s="76"/>
      <c r="AE171" s="76"/>
      <c r="AF171" s="76"/>
      <c r="AG171" s="84"/>
      <c r="AH171" s="76"/>
      <c r="AI171" s="76"/>
      <c r="AJ171" s="76"/>
      <c r="AK171" s="84"/>
      <c r="AL171" s="84"/>
      <c r="AM171" s="84"/>
      <c r="AN171" s="84"/>
      <c r="AO171" s="84"/>
    </row>
    <row r="172" spans="1:41" s="1" customFormat="1" ht="45" customHeight="1" x14ac:dyDescent="0.2">
      <c r="A172" s="75">
        <v>3</v>
      </c>
      <c r="B172" s="75"/>
      <c r="C172" s="76" t="s">
        <v>1335</v>
      </c>
      <c r="D172" s="76" t="s">
        <v>1339</v>
      </c>
      <c r="E172" s="75" t="s">
        <v>1340</v>
      </c>
      <c r="F172" s="75" t="e">
        <f>DATEDIF(P172,Q172,"y") + DATEDIF(T172,U172,"y") + DATEDIF(V172,W172,"y") + SUM(AD172) &amp; " años " &amp; DATEDIF(P172,Q172,"ym") + DATEDIF(T172,U172,"ym") + DATEDIF(V172,W172,"ym") + SUM(AE172) - SUM(AI172) &amp; " meses " &amp; DATEDIF(P172,Q172,"md") + DATEDIF(T172,U172,"md") + DATEDIF(V172,W172,"md") - SUM(AJ172) &amp; " días"</f>
        <v>#VALUE!</v>
      </c>
      <c r="G172" s="77">
        <v>1</v>
      </c>
      <c r="H172" s="78" t="e">
        <f t="shared" si="26"/>
        <v>#VALUE!</v>
      </c>
      <c r="I172" s="78" t="e">
        <f t="shared" si="27"/>
        <v>#VALUE!</v>
      </c>
      <c r="J172" s="75" t="s">
        <v>13</v>
      </c>
      <c r="K172" s="79">
        <v>150000</v>
      </c>
      <c r="L172" s="79">
        <f t="shared" si="28"/>
        <v>150000</v>
      </c>
      <c r="M172" s="76"/>
      <c r="N172" s="75" t="s">
        <v>42</v>
      </c>
      <c r="O172" s="80" t="s">
        <v>1341</v>
      </c>
      <c r="P172" s="81">
        <v>31686</v>
      </c>
      <c r="Q172" s="80" t="s">
        <v>336</v>
      </c>
      <c r="R172" s="81"/>
      <c r="S172" s="81">
        <v>40771</v>
      </c>
      <c r="T172" s="81"/>
      <c r="U172" s="81"/>
      <c r="V172" s="76"/>
      <c r="W172" s="76"/>
      <c r="X172" s="5"/>
      <c r="Y172" s="5"/>
      <c r="Z172" s="76" t="s">
        <v>134</v>
      </c>
      <c r="AA172" s="82" t="s">
        <v>36</v>
      </c>
      <c r="AB172" s="83" t="s">
        <v>37</v>
      </c>
      <c r="AC172" s="84"/>
      <c r="AD172" s="76"/>
      <c r="AE172" s="76"/>
      <c r="AF172" s="76"/>
      <c r="AG172" s="84"/>
      <c r="AH172" s="76"/>
      <c r="AI172" s="76"/>
      <c r="AJ172" s="76"/>
      <c r="AK172" s="84"/>
      <c r="AL172" s="84"/>
      <c r="AM172" s="84"/>
      <c r="AN172" s="84"/>
      <c r="AO172" s="84"/>
    </row>
    <row r="173" spans="1:41" s="1" customFormat="1" ht="45" customHeight="1" x14ac:dyDescent="0.2">
      <c r="A173" s="75">
        <v>4</v>
      </c>
      <c r="B173" s="75"/>
      <c r="C173" s="76" t="s">
        <v>1342</v>
      </c>
      <c r="D173" s="76" t="s">
        <v>1343</v>
      </c>
      <c r="E173" s="75" t="s">
        <v>1344</v>
      </c>
      <c r="F173" s="75" t="e">
        <f>DATEDIF(P173,Q173,"y") + DATEDIF(T173,U173,"y") + DATEDIF(V173,W173,"y") + SUM(Z173) &amp; " años " &amp; DATEDIF(P173,Q173,"ym") + DATEDIF(T173,U173,"ym") + DATEDIF(V173,W173,"ym") + SUM(AA173) - SUM(AE173) &amp; " meses " &amp; DATEDIF(P173,Q173,"md") + DATEDIF(T173,U173,"md") + DATEDIF(V173,W173,"md") - SUM(AF173) &amp; " días"</f>
        <v>#VALUE!</v>
      </c>
      <c r="G173" s="77">
        <v>1</v>
      </c>
      <c r="H173" s="78" t="e">
        <f t="shared" si="26"/>
        <v>#VALUE!</v>
      </c>
      <c r="I173" s="78" t="e">
        <f t="shared" si="27"/>
        <v>#VALUE!</v>
      </c>
      <c r="J173" s="75"/>
      <c r="K173" s="79">
        <v>70000</v>
      </c>
      <c r="L173" s="79">
        <f t="shared" si="28"/>
        <v>70000</v>
      </c>
      <c r="M173" s="76"/>
      <c r="N173" s="75" t="s">
        <v>42</v>
      </c>
      <c r="O173" s="80" t="s">
        <v>1345</v>
      </c>
      <c r="P173" s="81">
        <v>31579</v>
      </c>
      <c r="Q173" s="80" t="s">
        <v>336</v>
      </c>
      <c r="R173" s="81"/>
      <c r="S173" s="81">
        <v>43888</v>
      </c>
      <c r="T173" s="81"/>
      <c r="U173" s="81"/>
      <c r="V173" s="76"/>
      <c r="W173" s="76"/>
      <c r="X173" s="5"/>
      <c r="Y173" s="5"/>
      <c r="Z173" s="76" t="s">
        <v>134</v>
      </c>
      <c r="AA173" s="82" t="s">
        <v>36</v>
      </c>
      <c r="AB173" s="83" t="s">
        <v>37</v>
      </c>
      <c r="AC173" s="84"/>
      <c r="AD173" s="76"/>
      <c r="AE173" s="76"/>
      <c r="AF173" s="76"/>
      <c r="AG173" s="84"/>
      <c r="AH173" s="76"/>
      <c r="AI173" s="76"/>
      <c r="AJ173" s="76"/>
      <c r="AK173" s="84"/>
      <c r="AL173" s="84"/>
      <c r="AM173" s="84"/>
      <c r="AN173" s="84"/>
      <c r="AO173" s="84"/>
    </row>
    <row r="174" spans="1:41" s="1" customFormat="1" ht="45" customHeight="1" x14ac:dyDescent="0.2">
      <c r="A174" s="75">
        <v>5</v>
      </c>
      <c r="B174" s="75"/>
      <c r="C174" s="76" t="s">
        <v>1342</v>
      </c>
      <c r="D174" s="76" t="s">
        <v>1346</v>
      </c>
      <c r="E174" s="75" t="s">
        <v>1347</v>
      </c>
      <c r="F174" s="75" t="e">
        <f>DATEDIF(P174,Q174,"y") + DATEDIF(T174,U174,"y") + DATEDIF(V174,W174,"y") + SUM(Z174) &amp; " años " &amp; DATEDIF(P174,Q174,"ym") + DATEDIF(T174,U174,"ym") + DATEDIF(V174,W174,"ym") + SUM(AA174) - SUM(AE174) &amp; " meses " &amp; DATEDIF(P174,Q174,"md") + DATEDIF(T174,U174,"md") + DATEDIF(V174,W174,"md") - SUM(AF174) &amp; " días"</f>
        <v>#VALUE!</v>
      </c>
      <c r="G174" s="77">
        <v>1</v>
      </c>
      <c r="H174" s="78" t="e">
        <f t="shared" si="26"/>
        <v>#VALUE!</v>
      </c>
      <c r="I174" s="78" t="e">
        <f t="shared" si="27"/>
        <v>#VALUE!</v>
      </c>
      <c r="J174" s="75"/>
      <c r="K174" s="79">
        <v>39234.82</v>
      </c>
      <c r="L174" s="79">
        <f t="shared" si="28"/>
        <v>39234.82</v>
      </c>
      <c r="M174" s="76"/>
      <c r="N174" s="75" t="s">
        <v>42</v>
      </c>
      <c r="O174" s="80" t="s">
        <v>1348</v>
      </c>
      <c r="P174" s="81">
        <v>31564</v>
      </c>
      <c r="Q174" s="80" t="s">
        <v>336</v>
      </c>
      <c r="R174" s="81"/>
      <c r="S174" s="81">
        <v>43888</v>
      </c>
      <c r="T174" s="81"/>
      <c r="U174" s="81"/>
      <c r="V174" s="76"/>
      <c r="W174" s="76"/>
      <c r="X174" s="5"/>
      <c r="Y174" s="5"/>
      <c r="Z174" s="76" t="s">
        <v>134</v>
      </c>
      <c r="AA174" s="82" t="s">
        <v>36</v>
      </c>
      <c r="AB174" s="83" t="s">
        <v>37</v>
      </c>
      <c r="AC174" s="84"/>
      <c r="AD174" s="76"/>
      <c r="AE174" s="76"/>
      <c r="AF174" s="76"/>
      <c r="AG174" s="84"/>
      <c r="AH174" s="76"/>
      <c r="AI174" s="76"/>
      <c r="AJ174" s="76"/>
      <c r="AK174" s="84"/>
      <c r="AL174" s="84"/>
      <c r="AM174" s="84"/>
      <c r="AN174" s="84"/>
      <c r="AO174" s="84"/>
    </row>
    <row r="175" spans="1:41" s="1" customFormat="1" ht="45" customHeight="1" x14ac:dyDescent="0.2">
      <c r="A175" s="75">
        <v>6</v>
      </c>
      <c r="B175" s="75"/>
      <c r="C175" s="76" t="s">
        <v>1342</v>
      </c>
      <c r="D175" s="76" t="s">
        <v>1349</v>
      </c>
      <c r="E175" s="75" t="s">
        <v>1350</v>
      </c>
      <c r="F175" s="75" t="e">
        <f>DATEDIF(P175,Q175,"y") + DATEDIF(T175,U175,"y") + DATEDIF(V175,W175,"y") + SUM(Z175) &amp; " años " &amp; DATEDIF(P175,Q175,"ym") + DATEDIF(T175,U175,"ym") + DATEDIF(V175,W175,"ym") + SUM(AA175) - SUM(AE175) &amp; " meses " &amp; DATEDIF(P175,Q175,"md") + DATEDIF(T175,U175,"md") + DATEDIF(V175,W175,"md") - SUM(AF175) &amp; " días"</f>
        <v>#VALUE!</v>
      </c>
      <c r="G175" s="77">
        <v>1</v>
      </c>
      <c r="H175" s="78" t="e">
        <f t="shared" si="26"/>
        <v>#VALUE!</v>
      </c>
      <c r="I175" s="78" t="e">
        <f t="shared" si="27"/>
        <v>#VALUE!</v>
      </c>
      <c r="J175" s="75"/>
      <c r="K175" s="79">
        <v>42907.519999999997</v>
      </c>
      <c r="L175" s="79">
        <f t="shared" si="28"/>
        <v>42907.519999999997</v>
      </c>
      <c r="M175" s="76"/>
      <c r="N175" s="75" t="s">
        <v>42</v>
      </c>
      <c r="O175" s="80" t="s">
        <v>1351</v>
      </c>
      <c r="P175" s="81">
        <v>31444</v>
      </c>
      <c r="Q175" s="80" t="s">
        <v>336</v>
      </c>
      <c r="R175" s="81"/>
      <c r="S175" s="81">
        <v>42427</v>
      </c>
      <c r="T175" s="81"/>
      <c r="U175" s="81"/>
      <c r="V175" s="76"/>
      <c r="W175" s="76"/>
      <c r="X175" s="5" t="s">
        <v>1286</v>
      </c>
      <c r="Y175" s="5" t="s">
        <v>190</v>
      </c>
      <c r="Z175" s="76" t="s">
        <v>129</v>
      </c>
      <c r="AA175" s="82" t="s">
        <v>36</v>
      </c>
      <c r="AB175" s="83" t="s">
        <v>37</v>
      </c>
      <c r="AC175" s="84"/>
      <c r="AD175" s="76"/>
      <c r="AE175" s="76"/>
      <c r="AF175" s="76"/>
      <c r="AG175" s="84"/>
      <c r="AH175" s="76"/>
      <c r="AI175" s="76"/>
      <c r="AJ175" s="76"/>
      <c r="AK175" s="84"/>
      <c r="AL175" s="84"/>
      <c r="AM175" s="84"/>
      <c r="AN175" s="84"/>
      <c r="AO175" s="84"/>
    </row>
    <row r="176" spans="1:41" s="1" customFormat="1" ht="45" customHeight="1" x14ac:dyDescent="0.2">
      <c r="A176" s="75">
        <v>7</v>
      </c>
      <c r="B176" s="75"/>
      <c r="C176" s="76" t="s">
        <v>1342</v>
      </c>
      <c r="D176" s="76" t="s">
        <v>1352</v>
      </c>
      <c r="E176" s="75" t="s">
        <v>1353</v>
      </c>
      <c r="F176" s="75" t="e">
        <f>DATEDIF(P176,Q176,"y") + DATEDIF(T176,U176,"y") + DATEDIF(V176,W176,"y") + SUM(Z176) &amp; " años " &amp; DATEDIF(P176,Q176,"ym") + DATEDIF(T176,U176,"ym") + DATEDIF(V176,W176,"ym") + SUM(AA176) - SUM(AE176) &amp; " meses " &amp; DATEDIF(P176,Q176,"md") + DATEDIF(T176,U176,"md") + DATEDIF(V176,W176,"md") - SUM(AF176) &amp; " días"</f>
        <v>#VALUE!</v>
      </c>
      <c r="G176" s="77">
        <v>1</v>
      </c>
      <c r="H176" s="78" t="e">
        <f t="shared" si="26"/>
        <v>#VALUE!</v>
      </c>
      <c r="I176" s="78" t="e">
        <f t="shared" si="27"/>
        <v>#VALUE!</v>
      </c>
      <c r="J176" s="75"/>
      <c r="K176" s="79">
        <v>42907.519999999997</v>
      </c>
      <c r="L176" s="79">
        <f t="shared" si="28"/>
        <v>42907.519999999997</v>
      </c>
      <c r="M176" s="76"/>
      <c r="N176" s="75" t="s">
        <v>42</v>
      </c>
      <c r="O176" s="80" t="s">
        <v>1354</v>
      </c>
      <c r="P176" s="81">
        <v>31568</v>
      </c>
      <c r="Q176" s="80" t="s">
        <v>336</v>
      </c>
      <c r="R176" s="81"/>
      <c r="S176" s="81">
        <v>43158</v>
      </c>
      <c r="T176" s="81"/>
      <c r="U176" s="81"/>
      <c r="V176" s="76"/>
      <c r="W176" s="76"/>
      <c r="X176" s="5"/>
      <c r="Y176" s="5"/>
      <c r="Z176" s="76" t="s">
        <v>134</v>
      </c>
      <c r="AA176" s="82" t="s">
        <v>36</v>
      </c>
      <c r="AB176" s="83" t="s">
        <v>37</v>
      </c>
      <c r="AC176" s="84"/>
      <c r="AD176" s="76"/>
      <c r="AE176" s="76"/>
      <c r="AF176" s="76"/>
      <c r="AG176" s="84"/>
      <c r="AH176" s="76"/>
      <c r="AI176" s="76"/>
      <c r="AJ176" s="76"/>
      <c r="AK176" s="84"/>
      <c r="AL176" s="84"/>
      <c r="AM176" s="84"/>
      <c r="AN176" s="84"/>
      <c r="AO176" s="84"/>
    </row>
    <row r="177" spans="1:41" s="1" customFormat="1" ht="45" customHeight="1" x14ac:dyDescent="0.2">
      <c r="A177" s="75">
        <v>8</v>
      </c>
      <c r="B177" s="75"/>
      <c r="C177" s="76" t="s">
        <v>1342</v>
      </c>
      <c r="D177" s="76" t="s">
        <v>1355</v>
      </c>
      <c r="E177" s="75" t="s">
        <v>1356</v>
      </c>
      <c r="F177" s="75" t="e">
        <f>DATEDIF(P177,Q177,"y") + DATEDIF(T177,U177,"y") + DATEDIF(V177,W177,"y") + SUM(Z177) &amp; " años " &amp; DATEDIF(P177,Q177,"ym") + DATEDIF(T177,U177,"ym") + DATEDIF(V177,W177,"ym") + SUM(AA177) - SUM(AE177) &amp; " meses " &amp; DATEDIF(P177,Q177,"md") + DATEDIF(T177,U177,"md") + DATEDIF(V177,W177,"md") - SUM(AF177) &amp; " días"</f>
        <v>#VALUE!</v>
      </c>
      <c r="G177" s="77">
        <v>0.88</v>
      </c>
      <c r="H177" s="78" t="e">
        <f t="shared" si="26"/>
        <v>#VALUE!</v>
      </c>
      <c r="I177" s="78" t="e">
        <f t="shared" si="27"/>
        <v>#VALUE!</v>
      </c>
      <c r="J177" s="75"/>
      <c r="K177" s="79">
        <v>39234.82</v>
      </c>
      <c r="L177" s="79">
        <f t="shared" si="28"/>
        <v>34526.641600000003</v>
      </c>
      <c r="M177" s="76"/>
      <c r="N177" s="75" t="s">
        <v>42</v>
      </c>
      <c r="O177" s="80" t="s">
        <v>1357</v>
      </c>
      <c r="P177" s="81">
        <v>34121</v>
      </c>
      <c r="Q177" s="80" t="s">
        <v>336</v>
      </c>
      <c r="R177" s="81"/>
      <c r="S177" s="81">
        <v>43888</v>
      </c>
      <c r="T177" s="81"/>
      <c r="U177" s="81"/>
      <c r="V177" s="76"/>
      <c r="W177" s="76"/>
      <c r="X177" s="5" t="s">
        <v>1027</v>
      </c>
      <c r="Y177" s="5"/>
      <c r="Z177" s="76" t="s">
        <v>129</v>
      </c>
      <c r="AA177" s="82" t="s">
        <v>36</v>
      </c>
      <c r="AB177" s="83" t="s">
        <v>37</v>
      </c>
      <c r="AC177" s="84"/>
      <c r="AD177" s="76"/>
      <c r="AE177" s="76"/>
      <c r="AF177" s="76"/>
      <c r="AG177" s="84"/>
      <c r="AH177" s="76"/>
      <c r="AI177" s="76"/>
      <c r="AJ177" s="76"/>
      <c r="AK177" s="84"/>
      <c r="AL177" s="84"/>
      <c r="AM177" s="84"/>
      <c r="AN177" s="84"/>
      <c r="AO177" s="84"/>
    </row>
    <row r="178" spans="1:41" s="1" customFormat="1" ht="45" customHeight="1" x14ac:dyDescent="0.2">
      <c r="A178" s="75">
        <v>9</v>
      </c>
      <c r="B178" s="75"/>
      <c r="C178" s="76" t="s">
        <v>1358</v>
      </c>
      <c r="D178" s="76" t="s">
        <v>1359</v>
      </c>
      <c r="E178" s="75" t="s">
        <v>1360</v>
      </c>
      <c r="F178" s="75" t="e">
        <f>DATEDIF(P178,Q178,"y") + DATEDIF(T178,U178,"y") + DATEDIF(V178,W178,"y") + SUM(AD178) &amp; " años " &amp; DATEDIF(P178,Q178,"ym") + DATEDIF(T178,U178,"ym") + DATEDIF(V178,W178,"ym") + SUM(AE178) - SUM(AI178) &amp; " meses " &amp; DATEDIF(P178,Q178,"md") + DATEDIF(T178,U178,"md") + DATEDIF(V178,W178,"md") - SUM(AJ178) &amp; " días"</f>
        <v>#VALUE!</v>
      </c>
      <c r="G178" s="77">
        <v>0.94</v>
      </c>
      <c r="H178" s="78" t="e">
        <f t="shared" si="26"/>
        <v>#VALUE!</v>
      </c>
      <c r="I178" s="78" t="e">
        <f t="shared" si="27"/>
        <v>#VALUE!</v>
      </c>
      <c r="J178" s="75"/>
      <c r="K178" s="79">
        <f>39234.81</f>
        <v>39234.81</v>
      </c>
      <c r="L178" s="79">
        <f t="shared" si="28"/>
        <v>36880.721399999995</v>
      </c>
      <c r="M178" s="76"/>
      <c r="N178" s="75" t="s">
        <v>42</v>
      </c>
      <c r="O178" s="80" t="s">
        <v>1361</v>
      </c>
      <c r="P178" s="81">
        <v>36100</v>
      </c>
      <c r="Q178" s="80" t="s">
        <v>336</v>
      </c>
      <c r="R178" s="81"/>
      <c r="S178" s="81">
        <v>43523</v>
      </c>
      <c r="T178" s="81">
        <v>32643</v>
      </c>
      <c r="U178" s="81">
        <v>34104</v>
      </c>
      <c r="V178" s="76">
        <v>34394</v>
      </c>
      <c r="W178" s="76">
        <v>35855</v>
      </c>
      <c r="X178" s="5"/>
      <c r="Y178" s="5"/>
      <c r="Z178" s="76" t="s">
        <v>134</v>
      </c>
      <c r="AA178" s="82" t="s">
        <v>36</v>
      </c>
      <c r="AB178" s="83" t="s">
        <v>37</v>
      </c>
      <c r="AC178" s="84"/>
      <c r="AD178" s="76"/>
      <c r="AE178" s="76"/>
      <c r="AF178" s="76"/>
      <c r="AG178" s="84"/>
      <c r="AH178" s="76"/>
      <c r="AI178" s="76"/>
      <c r="AJ178" s="76"/>
      <c r="AK178" s="84"/>
      <c r="AL178" s="84"/>
      <c r="AM178" s="84"/>
      <c r="AN178" s="84"/>
      <c r="AO178" s="84"/>
    </row>
    <row r="179" spans="1:41" s="1" customFormat="1" ht="45" customHeight="1" x14ac:dyDescent="0.2">
      <c r="A179" s="75">
        <v>10</v>
      </c>
      <c r="B179" s="75"/>
      <c r="C179" s="76" t="s">
        <v>1358</v>
      </c>
      <c r="D179" s="76" t="s">
        <v>1362</v>
      </c>
      <c r="E179" s="75" t="s">
        <v>1363</v>
      </c>
      <c r="F179" s="75" t="e">
        <f>DATEDIF(P179,Q179,"y") + DATEDIF(T179,U179,"y") + DATEDIF(V179,W179,"y") + SUM(AD179) &amp; " años " &amp; DATEDIF(P179,Q179,"ym") + DATEDIF(T179,U179,"ym") + DATEDIF(V179,W179,"ym") + SUM(AE179) - SUM(AI179) &amp; " meses " &amp; DATEDIF(P179,Q179,"md") + DATEDIF(T179,U179,"md") + DATEDIF(V179,W179,"md") - SUM(AJ179) &amp; " días"</f>
        <v>#VALUE!</v>
      </c>
      <c r="G179" s="77">
        <v>1</v>
      </c>
      <c r="H179" s="78" t="e">
        <f t="shared" si="26"/>
        <v>#VALUE!</v>
      </c>
      <c r="I179" s="78" t="e">
        <f t="shared" si="27"/>
        <v>#VALUE!</v>
      </c>
      <c r="J179" s="75"/>
      <c r="K179" s="79">
        <f>35615.53+12000</f>
        <v>47615.53</v>
      </c>
      <c r="L179" s="79">
        <f t="shared" si="28"/>
        <v>47615.53</v>
      </c>
      <c r="M179" s="76"/>
      <c r="N179" s="75" t="s">
        <v>42</v>
      </c>
      <c r="O179" s="80" t="s">
        <v>1364</v>
      </c>
      <c r="P179" s="81">
        <v>32268</v>
      </c>
      <c r="Q179" s="80" t="s">
        <v>336</v>
      </c>
      <c r="R179" s="81"/>
      <c r="S179" s="81">
        <v>43888</v>
      </c>
      <c r="T179" s="81"/>
      <c r="U179" s="81"/>
      <c r="V179" s="76"/>
      <c r="W179" s="76"/>
      <c r="X179" s="5"/>
      <c r="Y179" s="5"/>
      <c r="Z179" s="76" t="s">
        <v>134</v>
      </c>
      <c r="AA179" s="82" t="s">
        <v>36</v>
      </c>
      <c r="AB179" s="83" t="s">
        <v>37</v>
      </c>
      <c r="AC179" s="84"/>
      <c r="AD179" s="76"/>
      <c r="AE179" s="76"/>
      <c r="AF179" s="76"/>
      <c r="AG179" s="84"/>
      <c r="AH179" s="76"/>
      <c r="AI179" s="76"/>
      <c r="AJ179" s="76"/>
      <c r="AK179" s="84"/>
      <c r="AL179" s="84"/>
      <c r="AM179" s="84"/>
      <c r="AN179" s="84"/>
      <c r="AO179" s="84"/>
    </row>
    <row r="180" spans="1:41" s="1" customFormat="1" ht="45" customHeight="1" x14ac:dyDescent="0.2">
      <c r="A180" s="75">
        <v>11</v>
      </c>
      <c r="B180" s="75"/>
      <c r="C180" s="76" t="s">
        <v>1358</v>
      </c>
      <c r="D180" s="76" t="s">
        <v>1365</v>
      </c>
      <c r="E180" s="75" t="s">
        <v>1366</v>
      </c>
      <c r="F180" s="75" t="e">
        <f>DATEDIF(P180,Q180,"y") + DATEDIF(T180,U180,"y") + DATEDIF(V180,W180,"y") + SUM(AD180) &amp; " años " &amp; DATEDIF(P180,Q180,"ym") + DATEDIF(T180,U180,"ym") + DATEDIF(V180,W180,"ym") + SUM(AE180) - SUM(AI180) &amp; " meses " &amp; DATEDIF(P180,Q180,"md") + DATEDIF(T180,U180,"md") + DATEDIF(V180,W180,"md") - SUM(AJ180) &amp; " días"</f>
        <v>#VALUE!</v>
      </c>
      <c r="G180" s="77">
        <v>1</v>
      </c>
      <c r="H180" s="78" t="e">
        <f t="shared" si="26"/>
        <v>#VALUE!</v>
      </c>
      <c r="I180" s="78" t="e">
        <f t="shared" si="27"/>
        <v>#VALUE!</v>
      </c>
      <c r="J180" s="75"/>
      <c r="K180" s="79">
        <v>35615.53</v>
      </c>
      <c r="L180" s="79">
        <f t="shared" si="28"/>
        <v>35615.53</v>
      </c>
      <c r="M180" s="76"/>
      <c r="N180" s="75" t="s">
        <v>42</v>
      </c>
      <c r="O180" s="80" t="s">
        <v>1367</v>
      </c>
      <c r="P180" s="81">
        <v>32603</v>
      </c>
      <c r="Q180" s="80" t="s">
        <v>336</v>
      </c>
      <c r="R180" s="81"/>
      <c r="S180" s="81">
        <v>44984</v>
      </c>
      <c r="T180" s="81"/>
      <c r="U180" s="81"/>
      <c r="V180" s="76"/>
      <c r="W180" s="76"/>
      <c r="X180" s="5"/>
      <c r="Y180" s="5"/>
      <c r="Z180" s="76" t="s">
        <v>134</v>
      </c>
      <c r="AA180" s="82" t="s">
        <v>36</v>
      </c>
      <c r="AB180" s="83" t="s">
        <v>37</v>
      </c>
      <c r="AC180" s="84"/>
      <c r="AD180" s="76"/>
      <c r="AE180" s="76"/>
      <c r="AF180" s="76"/>
      <c r="AG180" s="84"/>
      <c r="AH180" s="76"/>
      <c r="AI180" s="76"/>
      <c r="AJ180" s="76"/>
      <c r="AK180" s="84"/>
      <c r="AL180" s="84"/>
      <c r="AM180" s="84"/>
      <c r="AN180" s="84"/>
      <c r="AO180" s="84"/>
    </row>
    <row r="181" spans="1:41" s="1" customFormat="1" ht="45" customHeight="1" x14ac:dyDescent="0.2">
      <c r="A181" s="75">
        <v>12</v>
      </c>
      <c r="B181" s="75"/>
      <c r="C181" s="76" t="s">
        <v>1358</v>
      </c>
      <c r="D181" s="76" t="s">
        <v>1368</v>
      </c>
      <c r="E181" s="75" t="s">
        <v>1369</v>
      </c>
      <c r="F181" s="75" t="e">
        <f>DATEDIF(P181,Q181,"y") + DATEDIF(T181,U181,"y") + DATEDIF(V181,W181,"y") + SUM(Z181) &amp; " años " &amp; DATEDIF(P181,Q181,"ym") + DATEDIF(T181,U181,"ym") + DATEDIF(V181,W181,"ym") + SUM(AA181) - SUM(AE181) &amp; " meses " &amp; DATEDIF(P181,Q181,"md") + DATEDIF(T181,U181,"md") + DATEDIF(V181,W181,"md") - SUM(AF181) &amp; " días"</f>
        <v>#VALUE!</v>
      </c>
      <c r="G181" s="77">
        <v>0.85</v>
      </c>
      <c r="H181" s="78" t="e">
        <f t="shared" si="26"/>
        <v>#VALUE!</v>
      </c>
      <c r="I181" s="78" t="e">
        <f t="shared" si="27"/>
        <v>#VALUE!</v>
      </c>
      <c r="J181" s="75"/>
      <c r="K181" s="79">
        <f>39234.81</f>
        <v>39234.81</v>
      </c>
      <c r="L181" s="79">
        <f t="shared" si="28"/>
        <v>33349.588499999998</v>
      </c>
      <c r="M181" s="76"/>
      <c r="N181" s="75" t="s">
        <v>42</v>
      </c>
      <c r="O181" s="80" t="s">
        <v>1370</v>
      </c>
      <c r="P181" s="81">
        <v>34578</v>
      </c>
      <c r="Q181" s="80" t="s">
        <v>336</v>
      </c>
      <c r="R181" s="81"/>
      <c r="S181" s="81">
        <v>43158</v>
      </c>
      <c r="T181" s="81"/>
      <c r="U181" s="81"/>
      <c r="V181" s="76"/>
      <c r="W181" s="76"/>
      <c r="X181" s="5"/>
      <c r="Y181" s="5"/>
      <c r="Z181" s="76" t="s">
        <v>134</v>
      </c>
      <c r="AA181" s="82" t="s">
        <v>36</v>
      </c>
      <c r="AB181" s="83" t="s">
        <v>37</v>
      </c>
      <c r="AC181" s="84"/>
      <c r="AD181" s="76"/>
      <c r="AE181" s="76"/>
      <c r="AF181" s="76"/>
      <c r="AG181" s="84"/>
      <c r="AH181" s="76"/>
      <c r="AI181" s="76"/>
      <c r="AJ181" s="76"/>
      <c r="AK181" s="84"/>
      <c r="AL181" s="84"/>
      <c r="AM181" s="84"/>
      <c r="AN181" s="84"/>
      <c r="AO181" s="84"/>
    </row>
    <row r="182" spans="1:41" s="1" customFormat="1" ht="45" customHeight="1" x14ac:dyDescent="0.2">
      <c r="A182" s="75">
        <v>13</v>
      </c>
      <c r="B182" s="75"/>
      <c r="C182" s="76" t="s">
        <v>1358</v>
      </c>
      <c r="D182" s="76" t="s">
        <v>1371</v>
      </c>
      <c r="E182" s="75" t="s">
        <v>1372</v>
      </c>
      <c r="F182" s="75" t="e">
        <f>DATEDIF(P182,Q182,"y") + DATEDIF(T182,U182,"y") + DATEDIF(V182,W182,"y") + SUM(AD182) &amp; " años " &amp; DATEDIF(P182,Q182,"ym") + DATEDIF(T182,U182,"ym") + DATEDIF(V182,W182,"ym") + SUM(AE182) - SUM(AI182) &amp; " meses " &amp; DATEDIF(P182,Q182,"md") + DATEDIF(T182,U182,"md") + DATEDIF(V182,W182,"md") - SUM(AJ182) &amp; " días"</f>
        <v>#VALUE!</v>
      </c>
      <c r="G182" s="77">
        <v>1</v>
      </c>
      <c r="H182" s="78" t="e">
        <f t="shared" si="26"/>
        <v>#VALUE!</v>
      </c>
      <c r="I182" s="78" t="e">
        <f t="shared" si="27"/>
        <v>#VALUE!</v>
      </c>
      <c r="J182" s="75"/>
      <c r="K182" s="79">
        <f>35615.53</f>
        <v>35615.53</v>
      </c>
      <c r="L182" s="79">
        <f t="shared" si="28"/>
        <v>35615.53</v>
      </c>
      <c r="M182" s="76"/>
      <c r="N182" s="75" t="s">
        <v>42</v>
      </c>
      <c r="O182" s="80" t="s">
        <v>1373</v>
      </c>
      <c r="P182" s="81">
        <v>33770</v>
      </c>
      <c r="Q182" s="80" t="s">
        <v>336</v>
      </c>
      <c r="R182" s="81"/>
      <c r="S182" s="81">
        <v>43888</v>
      </c>
      <c r="T182" s="81">
        <v>30895</v>
      </c>
      <c r="U182" s="81">
        <v>32356</v>
      </c>
      <c r="V182" s="76"/>
      <c r="W182" s="76"/>
      <c r="X182" s="5"/>
      <c r="Y182" s="5"/>
      <c r="Z182" s="76" t="s">
        <v>134</v>
      </c>
      <c r="AA182" s="82" t="s">
        <v>36</v>
      </c>
      <c r="AB182" s="83" t="s">
        <v>37</v>
      </c>
      <c r="AC182" s="84"/>
      <c r="AD182" s="76"/>
      <c r="AE182" s="76"/>
      <c r="AF182" s="76"/>
      <c r="AG182" s="84"/>
      <c r="AH182" s="76"/>
      <c r="AI182" s="76"/>
      <c r="AJ182" s="76"/>
      <c r="AK182" s="84"/>
      <c r="AL182" s="84"/>
      <c r="AM182" s="84"/>
      <c r="AN182" s="84"/>
      <c r="AO182" s="84"/>
    </row>
    <row r="183" spans="1:41" s="1" customFormat="1" ht="45" customHeight="1" x14ac:dyDescent="0.2">
      <c r="A183" s="75">
        <v>14</v>
      </c>
      <c r="B183" s="75"/>
      <c r="C183" s="76" t="s">
        <v>1358</v>
      </c>
      <c r="D183" s="76" t="s">
        <v>1374</v>
      </c>
      <c r="E183" s="75" t="s">
        <v>1375</v>
      </c>
      <c r="F183" s="75" t="e">
        <f>DATEDIF(P183,Q183,"y") + DATEDIF(T183,U183,"y") + DATEDIF(V183,W183,"y") + SUM(Z183) &amp; " años " &amp; DATEDIF(P183,Q183,"ym") + DATEDIF(T183,U183,"ym") + DATEDIF(V183,W183,"ym") + SUM(AA183) - SUM(AE183) &amp; " meses " &amp; DATEDIF(P183,Q183,"md") + DATEDIF(T183,U183,"md") + DATEDIF(V183,W183,"md") - SUM(AF183) &amp; " días"</f>
        <v>#VALUE!</v>
      </c>
      <c r="G183" s="77">
        <v>1</v>
      </c>
      <c r="H183" s="78" t="e">
        <f t="shared" si="26"/>
        <v>#VALUE!</v>
      </c>
      <c r="I183" s="78" t="e">
        <f t="shared" si="27"/>
        <v>#VALUE!</v>
      </c>
      <c r="J183" s="75"/>
      <c r="K183" s="79">
        <f>35615.53+12000</f>
        <v>47615.53</v>
      </c>
      <c r="L183" s="79">
        <f t="shared" si="28"/>
        <v>47615.53</v>
      </c>
      <c r="M183" s="76"/>
      <c r="N183" s="75" t="s">
        <v>42</v>
      </c>
      <c r="O183" s="80" t="s">
        <v>1376</v>
      </c>
      <c r="P183" s="81">
        <v>32264</v>
      </c>
      <c r="Q183" s="80" t="s">
        <v>336</v>
      </c>
      <c r="R183" s="81"/>
      <c r="S183" s="81">
        <v>43888</v>
      </c>
      <c r="T183" s="81"/>
      <c r="U183" s="81"/>
      <c r="V183" s="76"/>
      <c r="W183" s="76"/>
      <c r="X183" s="5"/>
      <c r="Y183" s="5"/>
      <c r="Z183" s="76" t="s">
        <v>134</v>
      </c>
      <c r="AA183" s="82" t="s">
        <v>36</v>
      </c>
      <c r="AB183" s="83" t="s">
        <v>37</v>
      </c>
      <c r="AC183" s="84"/>
      <c r="AD183" s="76"/>
      <c r="AE183" s="76"/>
      <c r="AF183" s="76"/>
      <c r="AG183" s="84"/>
      <c r="AH183" s="76"/>
      <c r="AI183" s="76"/>
      <c r="AJ183" s="76"/>
      <c r="AK183" s="84"/>
      <c r="AL183" s="84"/>
      <c r="AM183" s="84"/>
      <c r="AN183" s="84"/>
      <c r="AO183" s="84"/>
    </row>
    <row r="184" spans="1:41" s="1" customFormat="1" ht="45" customHeight="1" x14ac:dyDescent="0.2">
      <c r="A184" s="75">
        <v>15</v>
      </c>
      <c r="B184" s="75"/>
      <c r="C184" s="76" t="s">
        <v>1358</v>
      </c>
      <c r="D184" s="76" t="s">
        <v>1377</v>
      </c>
      <c r="E184" s="75" t="s">
        <v>1378</v>
      </c>
      <c r="F184" s="75" t="e">
        <f>DATEDIF(P184,Q184,"y") + DATEDIF(T184,U184,"y") + DATEDIF(V184,W184,"y") + SUM(AD184) &amp; " años " &amp; DATEDIF(P184,Q184,"ym") + DATEDIF(T184,U184,"ym") + DATEDIF(V184,W184,"ym") + SUM(AE184) - SUM(AI184) &amp; " meses " &amp; DATEDIF(P184,Q184,"md") + DATEDIF(T184,U184,"md") + DATEDIF(V184,W184,"md") - SUM(AJ184) &amp; " días"</f>
        <v>#VALUE!</v>
      </c>
      <c r="G184" s="77">
        <v>1</v>
      </c>
      <c r="H184" s="78" t="e">
        <f t="shared" si="26"/>
        <v>#VALUE!</v>
      </c>
      <c r="I184" s="78" t="e">
        <f t="shared" si="27"/>
        <v>#VALUE!</v>
      </c>
      <c r="J184" s="75"/>
      <c r="K184" s="79">
        <v>70000</v>
      </c>
      <c r="L184" s="79">
        <f t="shared" si="28"/>
        <v>70000</v>
      </c>
      <c r="M184" s="76"/>
      <c r="N184" s="75" t="s">
        <v>42</v>
      </c>
      <c r="O184" s="80" t="s">
        <v>1379</v>
      </c>
      <c r="P184" s="81">
        <v>32509</v>
      </c>
      <c r="Q184" s="80" t="s">
        <v>336</v>
      </c>
      <c r="R184" s="81"/>
      <c r="S184" s="81">
        <v>43158</v>
      </c>
      <c r="T184" s="81"/>
      <c r="U184" s="81"/>
      <c r="V184" s="76"/>
      <c r="W184" s="76"/>
      <c r="X184" s="5"/>
      <c r="Y184" s="5"/>
      <c r="Z184" s="76" t="s">
        <v>134</v>
      </c>
      <c r="AA184" s="82" t="s">
        <v>36</v>
      </c>
      <c r="AB184" s="83" t="s">
        <v>37</v>
      </c>
      <c r="AC184" s="84"/>
      <c r="AD184" s="76"/>
      <c r="AE184" s="76"/>
      <c r="AF184" s="76"/>
      <c r="AG184" s="84"/>
      <c r="AH184" s="76"/>
      <c r="AI184" s="76"/>
      <c r="AJ184" s="76"/>
      <c r="AK184" s="84"/>
      <c r="AL184" s="84"/>
      <c r="AM184" s="84"/>
      <c r="AN184" s="84"/>
      <c r="AO184" s="84"/>
    </row>
    <row r="185" spans="1:41" s="1" customFormat="1" ht="45" customHeight="1" x14ac:dyDescent="0.2">
      <c r="A185" s="75">
        <v>16</v>
      </c>
      <c r="B185" s="75"/>
      <c r="C185" s="76" t="s">
        <v>614</v>
      </c>
      <c r="D185" s="76" t="s">
        <v>1380</v>
      </c>
      <c r="E185" s="75" t="s">
        <v>1381</v>
      </c>
      <c r="F185" s="75" t="e">
        <f>DATEDIF(P185,Q185,"y") + DATEDIF(T185,U185,"y") + DATEDIF(V185,W185,"y") + SUM(AD185) &amp; " años " &amp; DATEDIF(P185,Q185,"ym") + DATEDIF(T185,U185,"ym") + DATEDIF(V185,W185,"ym") + SUM(AE185) - SUM(AI185) &amp; " meses " &amp; DATEDIF(P185,Q185,"md") + DATEDIF(T185,U185,"md") + DATEDIF(V185,W185,"md") - SUM(AJ185) &amp; " días"</f>
        <v>#VALUE!</v>
      </c>
      <c r="G185" s="77">
        <v>1</v>
      </c>
      <c r="H185" s="78" t="e">
        <f t="shared" si="26"/>
        <v>#VALUE!</v>
      </c>
      <c r="I185" s="78" t="e">
        <f t="shared" si="27"/>
        <v>#VALUE!</v>
      </c>
      <c r="J185" s="75"/>
      <c r="K185" s="79">
        <f>35615.53</f>
        <v>35615.53</v>
      </c>
      <c r="L185" s="79">
        <f t="shared" si="28"/>
        <v>35615.53</v>
      </c>
      <c r="M185" s="76"/>
      <c r="N185" s="75" t="s">
        <v>42</v>
      </c>
      <c r="O185" s="80" t="s">
        <v>1382</v>
      </c>
      <c r="P185" s="81">
        <v>31533</v>
      </c>
      <c r="Q185" s="80" t="s">
        <v>336</v>
      </c>
      <c r="R185" s="81"/>
      <c r="S185" s="81">
        <v>43523</v>
      </c>
      <c r="T185" s="81"/>
      <c r="U185" s="81"/>
      <c r="V185" s="76"/>
      <c r="W185" s="76"/>
      <c r="X185" s="5"/>
      <c r="Y185" s="5"/>
      <c r="Z185" s="76" t="s">
        <v>35</v>
      </c>
      <c r="AA185" s="82" t="s">
        <v>36</v>
      </c>
      <c r="AB185" s="83" t="s">
        <v>37</v>
      </c>
      <c r="AC185" s="84"/>
      <c r="AD185" s="76"/>
      <c r="AE185" s="76"/>
      <c r="AF185" s="76"/>
      <c r="AG185" s="84"/>
      <c r="AH185" s="76"/>
      <c r="AI185" s="76"/>
      <c r="AJ185" s="76"/>
      <c r="AK185" s="84"/>
      <c r="AL185" s="84"/>
      <c r="AM185" s="84"/>
      <c r="AN185" s="84"/>
      <c r="AO185" s="84"/>
    </row>
    <row r="186" spans="1:41" s="1" customFormat="1" ht="45" customHeight="1" x14ac:dyDescent="0.2">
      <c r="A186" s="75">
        <v>17</v>
      </c>
      <c r="B186" s="75"/>
      <c r="C186" s="76" t="s">
        <v>614</v>
      </c>
      <c r="D186" s="76" t="s">
        <v>1383</v>
      </c>
      <c r="E186" s="75" t="s">
        <v>1384</v>
      </c>
      <c r="F186" s="75" t="e">
        <f>DATEDIF(P186,Q186,"y") + DATEDIF(T186,U186,"y") + DATEDIF(V186,W186,"y") + SUM(AD186) &amp; " años " &amp; DATEDIF(P186,Q186,"ym") + DATEDIF(T186,U186,"ym") + DATEDIF(V186,W186,"ym") + SUM(AE186) - SUM(AI186) &amp; " meses " &amp; DATEDIF(P186,Q186,"md") + DATEDIF(T186,U186,"md") + DATEDIF(V186,W186,"md") - SUM(AJ186) &amp; " días"</f>
        <v>#VALUE!</v>
      </c>
      <c r="G186" s="77">
        <v>0.97</v>
      </c>
      <c r="H186" s="78" t="e">
        <f t="shared" si="26"/>
        <v>#VALUE!</v>
      </c>
      <c r="I186" s="78" t="e">
        <f t="shared" si="27"/>
        <v>#VALUE!</v>
      </c>
      <c r="J186" s="75"/>
      <c r="K186" s="79">
        <f>35615.53</f>
        <v>35615.53</v>
      </c>
      <c r="L186" s="79">
        <f t="shared" si="28"/>
        <v>34547.064099999996</v>
      </c>
      <c r="M186" s="76"/>
      <c r="N186" s="75" t="s">
        <v>42</v>
      </c>
      <c r="O186" s="80" t="s">
        <v>1385</v>
      </c>
      <c r="P186" s="81">
        <v>33086</v>
      </c>
      <c r="Q186" s="80" t="s">
        <v>336</v>
      </c>
      <c r="R186" s="81"/>
      <c r="S186" s="81">
        <v>43523</v>
      </c>
      <c r="T186" s="81"/>
      <c r="U186" s="81"/>
      <c r="V186" s="76"/>
      <c r="W186" s="76"/>
      <c r="X186" s="5"/>
      <c r="Y186" s="5"/>
      <c r="Z186" s="76" t="s">
        <v>35</v>
      </c>
      <c r="AA186" s="82" t="s">
        <v>36</v>
      </c>
      <c r="AB186" s="83" t="s">
        <v>37</v>
      </c>
      <c r="AC186" s="84"/>
      <c r="AD186" s="76"/>
      <c r="AE186" s="76"/>
      <c r="AF186" s="76"/>
      <c r="AG186" s="84"/>
      <c r="AH186" s="76"/>
      <c r="AI186" s="76"/>
      <c r="AJ186" s="76"/>
      <c r="AK186" s="84"/>
      <c r="AL186" s="84"/>
      <c r="AM186" s="84"/>
      <c r="AN186" s="84"/>
      <c r="AO186" s="84"/>
    </row>
    <row r="187" spans="1:41" s="1" customFormat="1" ht="45" customHeight="1" x14ac:dyDescent="0.2">
      <c r="A187" s="75">
        <v>18</v>
      </c>
      <c r="B187" s="75"/>
      <c r="C187" s="76" t="s">
        <v>614</v>
      </c>
      <c r="D187" s="76" t="s">
        <v>1386</v>
      </c>
      <c r="E187" s="75" t="s">
        <v>1387</v>
      </c>
      <c r="F187" s="75" t="e">
        <f>DATEDIF(P187,Q187,"y") + DATEDIF(T187,U187,"y") + DATEDIF(V187,W187,"y") + SUM(AD187) &amp; " años " &amp; DATEDIF(P187,Q187,"ym") + DATEDIF(T187,U187,"ym") + DATEDIF(V187,W187,"ym") + SUM(AE187) - SUM(AI187) &amp; " meses " &amp; DATEDIF(P187,Q187,"md") + DATEDIF(T187,U187,"md") + DATEDIF(V187,W187,"md") - SUM(AJ187) &amp; " días"</f>
        <v>#VALUE!</v>
      </c>
      <c r="G187" s="77">
        <v>0.94</v>
      </c>
      <c r="H187" s="78" t="e">
        <f t="shared" si="26"/>
        <v>#VALUE!</v>
      </c>
      <c r="I187" s="78" t="e">
        <f t="shared" si="27"/>
        <v>#VALUE!</v>
      </c>
      <c r="J187" s="75"/>
      <c r="K187" s="79">
        <f>35615.52</f>
        <v>35615.519999999997</v>
      </c>
      <c r="L187" s="79">
        <f t="shared" si="28"/>
        <v>33478.588799999998</v>
      </c>
      <c r="M187" s="76"/>
      <c r="N187" s="75" t="s">
        <v>42</v>
      </c>
      <c r="O187" s="80" t="s">
        <v>1388</v>
      </c>
      <c r="P187" s="81">
        <v>33147</v>
      </c>
      <c r="Q187" s="80" t="s">
        <v>336</v>
      </c>
      <c r="R187" s="81"/>
      <c r="S187" s="81">
        <v>43523</v>
      </c>
      <c r="T187" s="81"/>
      <c r="U187" s="81"/>
      <c r="V187" s="76"/>
      <c r="W187" s="76"/>
      <c r="X187" s="5"/>
      <c r="Y187" s="5"/>
      <c r="Z187" s="76" t="s">
        <v>35</v>
      </c>
      <c r="AA187" s="82" t="s">
        <v>36</v>
      </c>
      <c r="AB187" s="83" t="s">
        <v>37</v>
      </c>
      <c r="AC187" s="84"/>
      <c r="AD187" s="76"/>
      <c r="AE187" s="76"/>
      <c r="AF187" s="76"/>
      <c r="AG187" s="84"/>
      <c r="AH187" s="76"/>
      <c r="AI187" s="76"/>
      <c r="AJ187" s="76"/>
      <c r="AK187" s="84"/>
      <c r="AL187" s="84"/>
      <c r="AM187" s="84"/>
      <c r="AN187" s="84"/>
      <c r="AO187" s="84"/>
    </row>
    <row r="188" spans="1:41" s="1" customFormat="1" ht="45" customHeight="1" x14ac:dyDescent="0.2">
      <c r="A188" s="75">
        <v>19</v>
      </c>
      <c r="B188" s="75"/>
      <c r="C188" s="76" t="s">
        <v>614</v>
      </c>
      <c r="D188" s="76" t="s">
        <v>1389</v>
      </c>
      <c r="E188" s="75" t="s">
        <v>1390</v>
      </c>
      <c r="F188" s="75" t="e">
        <f>DATEDIF(P188,Q188,"y") + DATEDIF(T188,U188,"y") + DATEDIF(V188,W188,"y") + SUM(AD188) &amp; " años " &amp; DATEDIF(P188,Q188,"ym") + DATEDIF(T188,U188,"ym") + DATEDIF(V188,W188,"ym") + SUM(AE188) - SUM(AI188) &amp; " meses " &amp; DATEDIF(P188,Q188,"md") + DATEDIF(T188,U188,"md") + DATEDIF(V188,W188,"md") - SUM(AJ188) &amp; " días"</f>
        <v>#VALUE!</v>
      </c>
      <c r="G188" s="77">
        <v>0.91</v>
      </c>
      <c r="H188" s="78" t="e">
        <f t="shared" si="26"/>
        <v>#VALUE!</v>
      </c>
      <c r="I188" s="78" t="e">
        <f t="shared" si="27"/>
        <v>#VALUE!</v>
      </c>
      <c r="J188" s="75"/>
      <c r="K188" s="79">
        <v>34575.769999999997</v>
      </c>
      <c r="L188" s="79">
        <f t="shared" si="28"/>
        <v>31463.950699999998</v>
      </c>
      <c r="M188" s="76"/>
      <c r="N188" s="75" t="s">
        <v>42</v>
      </c>
      <c r="O188" s="80" t="s">
        <v>1391</v>
      </c>
      <c r="P188" s="81">
        <v>36099</v>
      </c>
      <c r="Q188" s="80" t="s">
        <v>1960</v>
      </c>
      <c r="R188" s="81"/>
      <c r="S188" s="81">
        <v>43888</v>
      </c>
      <c r="T188" s="81">
        <v>33664</v>
      </c>
      <c r="U188" s="81">
        <v>36099</v>
      </c>
      <c r="V188" s="76"/>
      <c r="W188" s="76"/>
      <c r="X188" s="5" t="s">
        <v>894</v>
      </c>
      <c r="Y188" s="5"/>
      <c r="Z188" s="76" t="s">
        <v>899</v>
      </c>
      <c r="AA188" s="82" t="s">
        <v>36</v>
      </c>
      <c r="AB188" s="83" t="s">
        <v>37</v>
      </c>
      <c r="AC188" s="84"/>
      <c r="AD188" s="76"/>
      <c r="AE188" s="76"/>
      <c r="AF188" s="76"/>
      <c r="AG188" s="84"/>
      <c r="AH188" s="76"/>
      <c r="AI188" s="76"/>
      <c r="AJ188" s="76"/>
      <c r="AK188" s="84"/>
      <c r="AL188" s="84"/>
      <c r="AM188" s="84"/>
      <c r="AN188" s="84"/>
      <c r="AO188" s="84"/>
    </row>
    <row r="189" spans="1:41" s="1" customFormat="1" ht="45" customHeight="1" x14ac:dyDescent="0.2">
      <c r="A189" s="75">
        <v>20</v>
      </c>
      <c r="B189" s="75"/>
      <c r="C189" s="76" t="s">
        <v>614</v>
      </c>
      <c r="D189" s="76" t="s">
        <v>1392</v>
      </c>
      <c r="E189" s="75" t="s">
        <v>1393</v>
      </c>
      <c r="F189" s="75" t="e">
        <f>DATEDIF(P189,Q189,"y") + DATEDIF(T189,U189,"y") + DATEDIF(V189,W189,"y") + SUM(Z189) &amp; " años " &amp; DATEDIF(P189,Q189,"ym") + DATEDIF(T189,U189,"ym") + DATEDIF(V189,W189,"ym") + SUM(AA189) - SUM(AE189) &amp; " meses " &amp; DATEDIF(P189,Q189,"md") + DATEDIF(T189,U189,"md") + DATEDIF(V189,W189,"md") - SUM(AF189) &amp; " días"</f>
        <v>#VALUE!</v>
      </c>
      <c r="G189" s="77">
        <v>1</v>
      </c>
      <c r="H189" s="78" t="e">
        <f t="shared" si="26"/>
        <v>#VALUE!</v>
      </c>
      <c r="I189" s="78" t="e">
        <f t="shared" si="27"/>
        <v>#VALUE!</v>
      </c>
      <c r="J189" s="75"/>
      <c r="K189" s="79">
        <f>35615.53</f>
        <v>35615.53</v>
      </c>
      <c r="L189" s="79">
        <f t="shared" si="28"/>
        <v>35615.53</v>
      </c>
      <c r="M189" s="76"/>
      <c r="N189" s="75" t="s">
        <v>42</v>
      </c>
      <c r="O189" s="80" t="s">
        <v>1394</v>
      </c>
      <c r="P189" s="81">
        <v>32573</v>
      </c>
      <c r="Q189" s="80" t="s">
        <v>336</v>
      </c>
      <c r="R189" s="81"/>
      <c r="S189" s="81">
        <v>43158</v>
      </c>
      <c r="T189" s="81"/>
      <c r="U189" s="81"/>
      <c r="V189" s="76"/>
      <c r="W189" s="76"/>
      <c r="X189" s="5"/>
      <c r="Y189" s="5"/>
      <c r="Z189" s="76" t="s">
        <v>35</v>
      </c>
      <c r="AA189" s="82" t="s">
        <v>36</v>
      </c>
      <c r="AB189" s="83" t="s">
        <v>37</v>
      </c>
      <c r="AC189" s="84"/>
      <c r="AD189" s="76"/>
      <c r="AE189" s="76"/>
      <c r="AF189" s="76"/>
      <c r="AG189" s="84"/>
      <c r="AH189" s="76"/>
      <c r="AI189" s="76"/>
      <c r="AJ189" s="76"/>
      <c r="AK189" s="84"/>
      <c r="AL189" s="84"/>
      <c r="AM189" s="84"/>
      <c r="AN189" s="84"/>
      <c r="AO189" s="84"/>
    </row>
    <row r="190" spans="1:41" s="1" customFormat="1" ht="45" customHeight="1" x14ac:dyDescent="0.2">
      <c r="A190" s="75">
        <v>21</v>
      </c>
      <c r="B190" s="75"/>
      <c r="C190" s="76" t="s">
        <v>614</v>
      </c>
      <c r="D190" s="76" t="s">
        <v>1395</v>
      </c>
      <c r="E190" s="75" t="s">
        <v>1396</v>
      </c>
      <c r="F190" s="75" t="e">
        <f>DATEDIF(P190,Q190,"y") + DATEDIF(T190,U190,"y") + DATEDIF(V190,W190,"y") + SUM(AD190) &amp; " años " &amp; DATEDIF(P190,Q190,"ym") + DATEDIF(T190,U190,"ym") + DATEDIF(V190,W190,"ym") + SUM(AE190) - SUM(AI190) &amp; " meses " &amp; DATEDIF(P190,Q190,"md") + DATEDIF(T190,U190,"md") + DATEDIF(V190,W190,"md") - SUM(AJ190) &amp; " días"</f>
        <v>#VALUE!</v>
      </c>
      <c r="G190" s="77">
        <v>0.88</v>
      </c>
      <c r="H190" s="78" t="e">
        <f t="shared" si="26"/>
        <v>#VALUE!</v>
      </c>
      <c r="I190" s="78" t="e">
        <f t="shared" si="27"/>
        <v>#VALUE!</v>
      </c>
      <c r="J190" s="75"/>
      <c r="K190" s="79">
        <f>35615.52</f>
        <v>35615.519999999997</v>
      </c>
      <c r="L190" s="79">
        <f t="shared" si="28"/>
        <v>31341.657599999999</v>
      </c>
      <c r="M190" s="76"/>
      <c r="N190" s="75" t="s">
        <v>42</v>
      </c>
      <c r="O190" s="80" t="s">
        <v>1397</v>
      </c>
      <c r="P190" s="81">
        <v>34043</v>
      </c>
      <c r="Q190" s="80" t="s">
        <v>336</v>
      </c>
      <c r="R190" s="81"/>
      <c r="S190" s="81">
        <v>43523</v>
      </c>
      <c r="T190" s="81"/>
      <c r="U190" s="81"/>
      <c r="V190" s="76"/>
      <c r="W190" s="76"/>
      <c r="X190" s="5"/>
      <c r="Y190" s="5"/>
      <c r="Z190" s="76" t="s">
        <v>35</v>
      </c>
      <c r="AA190" s="82" t="s">
        <v>36</v>
      </c>
      <c r="AB190" s="83" t="s">
        <v>37</v>
      </c>
      <c r="AC190" s="84"/>
      <c r="AD190" s="76"/>
      <c r="AE190" s="76"/>
      <c r="AF190" s="76"/>
      <c r="AG190" s="84"/>
      <c r="AH190" s="76"/>
      <c r="AI190" s="76"/>
      <c r="AJ190" s="76"/>
      <c r="AK190" s="84"/>
      <c r="AL190" s="84"/>
      <c r="AM190" s="84"/>
      <c r="AN190" s="84"/>
      <c r="AO190" s="84"/>
    </row>
    <row r="191" spans="1:41" s="1" customFormat="1" ht="45" customHeight="1" x14ac:dyDescent="0.2">
      <c r="A191" s="75">
        <v>22</v>
      </c>
      <c r="B191" s="75"/>
      <c r="C191" s="76" t="s">
        <v>614</v>
      </c>
      <c r="D191" s="76" t="s">
        <v>1398</v>
      </c>
      <c r="E191" s="75" t="s">
        <v>1399</v>
      </c>
      <c r="F191" s="75" t="e">
        <f>DATEDIF(P191,Q191,"y") + DATEDIF(T191,U191,"y") + DATEDIF(V191,W191,"y") + SUM(AD191) &amp; " años " &amp; DATEDIF(P191,Q191,"ym") + DATEDIF(T191,U191,"ym") + DATEDIF(V191,W191,"ym") + SUM(AE191) - SUM(AI191) &amp; " meses " &amp; DATEDIF(P191,Q191,"md") + DATEDIF(T191,U191,"md") + DATEDIF(V191,W191,"md") - SUM(AJ191) &amp; " días"</f>
        <v>#VALUE!</v>
      </c>
      <c r="G191" s="77">
        <v>0.85</v>
      </c>
      <c r="H191" s="78" t="e">
        <f t="shared" si="26"/>
        <v>#VALUE!</v>
      </c>
      <c r="I191" s="78" t="e">
        <f t="shared" si="27"/>
        <v>#VALUE!</v>
      </c>
      <c r="J191" s="75"/>
      <c r="K191" s="79">
        <f>35615.53</f>
        <v>35615.53</v>
      </c>
      <c r="L191" s="79">
        <f t="shared" si="28"/>
        <v>30273.200499999999</v>
      </c>
      <c r="M191" s="76"/>
      <c r="N191" s="75" t="s">
        <v>42</v>
      </c>
      <c r="O191" s="80" t="s">
        <v>1400</v>
      </c>
      <c r="P191" s="81">
        <v>34366</v>
      </c>
      <c r="Q191" s="80" t="s">
        <v>336</v>
      </c>
      <c r="R191" s="81"/>
      <c r="S191" s="81">
        <v>43158</v>
      </c>
      <c r="T191" s="81"/>
      <c r="U191" s="81"/>
      <c r="V191" s="76"/>
      <c r="W191" s="76"/>
      <c r="X191" s="5"/>
      <c r="Y191" s="5"/>
      <c r="Z191" s="76" t="s">
        <v>35</v>
      </c>
      <c r="AA191" s="82" t="s">
        <v>36</v>
      </c>
      <c r="AB191" s="83" t="s">
        <v>37</v>
      </c>
      <c r="AC191" s="84"/>
      <c r="AD191" s="76"/>
      <c r="AE191" s="76"/>
      <c r="AF191" s="76"/>
      <c r="AG191" s="84"/>
      <c r="AH191" s="76"/>
      <c r="AI191" s="76"/>
      <c r="AJ191" s="76"/>
      <c r="AK191" s="84"/>
      <c r="AL191" s="84"/>
      <c r="AM191" s="84"/>
      <c r="AN191" s="84"/>
      <c r="AO191" s="84"/>
    </row>
    <row r="192" spans="1:41" s="1" customFormat="1" ht="45" customHeight="1" x14ac:dyDescent="0.2">
      <c r="A192" s="75">
        <v>23</v>
      </c>
      <c r="B192" s="75"/>
      <c r="C192" s="76" t="s">
        <v>614</v>
      </c>
      <c r="D192" s="76" t="s">
        <v>1401</v>
      </c>
      <c r="E192" s="75" t="s">
        <v>1402</v>
      </c>
      <c r="F192" s="75" t="e">
        <f>DATEDIF(P192,Q192,"y") + DATEDIF(T192,U192,"y") + DATEDIF(V192,W192,"y") + SUM(AD192) &amp; " años " &amp; DATEDIF(P192,Q192,"ym") + DATEDIF(T192,U192,"ym") + DATEDIF(V192,W192,"ym") + SUM(AE192) - SUM(AI192) &amp; " meses " &amp; DATEDIF(P192,Q192,"md") + DATEDIF(T192,U192,"md") + DATEDIF(V192,W192,"md") - SUM(AJ192) &amp; " días"</f>
        <v>#VALUE!</v>
      </c>
      <c r="G192" s="77">
        <v>0.88</v>
      </c>
      <c r="H192" s="78" t="e">
        <f t="shared" si="26"/>
        <v>#VALUE!</v>
      </c>
      <c r="I192" s="78" t="e">
        <f t="shared" si="27"/>
        <v>#VALUE!</v>
      </c>
      <c r="J192" s="75"/>
      <c r="K192" s="79">
        <f>35615.53</f>
        <v>35615.53</v>
      </c>
      <c r="L192" s="79">
        <f t="shared" si="28"/>
        <v>31341.666399999998</v>
      </c>
      <c r="M192" s="76"/>
      <c r="N192" s="75" t="s">
        <v>42</v>
      </c>
      <c r="O192" s="80" t="s">
        <v>1403</v>
      </c>
      <c r="P192" s="81">
        <v>33878</v>
      </c>
      <c r="Q192" s="80" t="s">
        <v>336</v>
      </c>
      <c r="R192" s="81"/>
      <c r="S192" s="81">
        <v>43523</v>
      </c>
      <c r="T192" s="81"/>
      <c r="U192" s="81"/>
      <c r="V192" s="76"/>
      <c r="W192" s="76"/>
      <c r="X192" s="5"/>
      <c r="Y192" s="5"/>
      <c r="Z192" s="76" t="s">
        <v>35</v>
      </c>
      <c r="AA192" s="82" t="s">
        <v>36</v>
      </c>
      <c r="AB192" s="83" t="s">
        <v>37</v>
      </c>
      <c r="AC192" s="84"/>
      <c r="AD192" s="76"/>
      <c r="AE192" s="76"/>
      <c r="AF192" s="76"/>
      <c r="AG192" s="84"/>
      <c r="AH192" s="76"/>
      <c r="AI192" s="76"/>
      <c r="AJ192" s="76"/>
      <c r="AK192" s="84"/>
      <c r="AL192" s="84"/>
      <c r="AM192" s="84"/>
      <c r="AN192" s="84"/>
      <c r="AO192" s="84"/>
    </row>
    <row r="193" spans="1:41" s="1" customFormat="1" ht="45" customHeight="1" x14ac:dyDescent="0.2">
      <c r="A193" s="75">
        <v>24</v>
      </c>
      <c r="B193" s="75"/>
      <c r="C193" s="76" t="s">
        <v>614</v>
      </c>
      <c r="D193" s="76" t="s">
        <v>1404</v>
      </c>
      <c r="E193" s="75" t="s">
        <v>1405</v>
      </c>
      <c r="F193" s="75" t="e">
        <f>DATEDIF(P193,Q193,"y") + DATEDIF(T193,U193,"y") + DATEDIF(V193,W193,"y") + SUM(AD193) &amp; " años " &amp; DATEDIF(P193,Q193,"ym") + DATEDIF(T193,U193,"ym") + DATEDIF(V193,W193,"ym") + SUM(AE193) - SUM(AI193) &amp; " meses " &amp; DATEDIF(P193,Q193,"md") + DATEDIF(T193,U193,"md") + DATEDIF(V193,W193,"md") - SUM(AJ193) &amp; " días"</f>
        <v>#VALUE!</v>
      </c>
      <c r="G193" s="77">
        <v>0.91</v>
      </c>
      <c r="H193" s="78" t="e">
        <f t="shared" si="26"/>
        <v>#VALUE!</v>
      </c>
      <c r="I193" s="78" t="e">
        <f t="shared" si="27"/>
        <v>#VALUE!</v>
      </c>
      <c r="J193" s="75"/>
      <c r="K193" s="79">
        <f>35615.53</f>
        <v>35615.53</v>
      </c>
      <c r="L193" s="79">
        <f t="shared" si="28"/>
        <v>32410.132300000001</v>
      </c>
      <c r="M193" s="76"/>
      <c r="N193" s="75" t="s">
        <v>42</v>
      </c>
      <c r="O193" s="80" t="s">
        <v>1406</v>
      </c>
      <c r="P193" s="81">
        <v>33756</v>
      </c>
      <c r="Q193" s="80" t="s">
        <v>336</v>
      </c>
      <c r="R193" s="81"/>
      <c r="S193" s="81">
        <v>43523</v>
      </c>
      <c r="T193" s="81"/>
      <c r="U193" s="81"/>
      <c r="V193" s="76"/>
      <c r="W193" s="76"/>
      <c r="X193" s="5"/>
      <c r="Y193" s="5"/>
      <c r="Z193" s="76" t="s">
        <v>35</v>
      </c>
      <c r="AA193" s="82" t="s">
        <v>36</v>
      </c>
      <c r="AB193" s="83" t="s">
        <v>37</v>
      </c>
      <c r="AC193" s="84"/>
      <c r="AD193" s="76"/>
      <c r="AE193" s="76"/>
      <c r="AF193" s="76"/>
      <c r="AG193" s="84"/>
      <c r="AH193" s="76"/>
      <c r="AI193" s="76"/>
      <c r="AJ193" s="76"/>
      <c r="AK193" s="84"/>
      <c r="AL193" s="84"/>
      <c r="AM193" s="84"/>
      <c r="AN193" s="84"/>
      <c r="AO193" s="84"/>
    </row>
    <row r="194" spans="1:41" s="1" customFormat="1" ht="45" customHeight="1" x14ac:dyDescent="0.2">
      <c r="A194" s="75">
        <v>25</v>
      </c>
      <c r="B194" s="75"/>
      <c r="C194" s="76" t="s">
        <v>614</v>
      </c>
      <c r="D194" s="76" t="s">
        <v>1407</v>
      </c>
      <c r="E194" s="75" t="s">
        <v>1408</v>
      </c>
      <c r="F194" s="75" t="e">
        <f>DATEDIF(P194,Q194,"y") + DATEDIF(T194,U194,"y") + DATEDIF(V194,W194,"y") + SUM(AD194) &amp; " años " &amp; DATEDIF(P194,Q194,"ym") + DATEDIF(T194,U194,"ym") + DATEDIF(V194,W194,"ym") + SUM(AE194) - SUM(AI194) &amp; " meses " &amp; DATEDIF(P194,Q194,"md") + DATEDIF(T194,U194,"md") + DATEDIF(V194,W194,"md") - SUM(AJ194) &amp; " días"</f>
        <v>#VALUE!</v>
      </c>
      <c r="G194" s="77">
        <v>0.88</v>
      </c>
      <c r="H194" s="78" t="e">
        <f t="shared" si="26"/>
        <v>#VALUE!</v>
      </c>
      <c r="I194" s="78" t="e">
        <f t="shared" si="27"/>
        <v>#VALUE!</v>
      </c>
      <c r="J194" s="75"/>
      <c r="K194" s="79">
        <v>34575.769999999997</v>
      </c>
      <c r="L194" s="79">
        <f t="shared" si="28"/>
        <v>30426.677599999999</v>
      </c>
      <c r="M194" s="76"/>
      <c r="N194" s="75" t="s">
        <v>42</v>
      </c>
      <c r="O194" s="80" t="s">
        <v>1409</v>
      </c>
      <c r="P194" s="81">
        <v>34001</v>
      </c>
      <c r="Q194" s="80" t="s">
        <v>336</v>
      </c>
      <c r="R194" s="81"/>
      <c r="S194" s="81">
        <v>43888</v>
      </c>
      <c r="T194" s="81"/>
      <c r="U194" s="81"/>
      <c r="V194" s="76"/>
      <c r="W194" s="76"/>
      <c r="X194" s="5"/>
      <c r="Y194" s="5"/>
      <c r="Z194" s="76" t="s">
        <v>35</v>
      </c>
      <c r="AA194" s="82" t="s">
        <v>36</v>
      </c>
      <c r="AB194" s="83" t="s">
        <v>37</v>
      </c>
      <c r="AC194" s="84"/>
      <c r="AD194" s="76"/>
      <c r="AE194" s="76"/>
      <c r="AF194" s="76"/>
      <c r="AG194" s="84"/>
      <c r="AH194" s="76"/>
      <c r="AI194" s="76"/>
      <c r="AJ194" s="76"/>
      <c r="AK194" s="84"/>
      <c r="AL194" s="84"/>
      <c r="AM194" s="84"/>
      <c r="AN194" s="84"/>
      <c r="AO194" s="84"/>
    </row>
    <row r="195" spans="1:41" s="1" customFormat="1" ht="45" customHeight="1" x14ac:dyDescent="0.2">
      <c r="A195" s="75">
        <v>26</v>
      </c>
      <c r="B195" s="75"/>
      <c r="C195" s="76" t="s">
        <v>614</v>
      </c>
      <c r="D195" s="76" t="s">
        <v>1410</v>
      </c>
      <c r="E195" s="75" t="s">
        <v>1411</v>
      </c>
      <c r="F195" s="75" t="e">
        <f>DATEDIF(P195,Q195,"y") + DATEDIF(T195,U195,"y") + DATEDIF(V195,W195,"y") + SUM(Z195) &amp; " años " &amp; DATEDIF(P195,Q195,"ym") + DATEDIF(T195,U195,"ym") + DATEDIF(V195,W195,"ym") + SUM(AA195) - SUM(AE195) &amp; " meses " &amp; DATEDIF(P195,Q195,"md") + DATEDIF(T195,U195,"md") + DATEDIF(V195,W195,"md") - SUM(AF195) &amp; " días"</f>
        <v>#VALUE!</v>
      </c>
      <c r="G195" s="77">
        <v>0.91</v>
      </c>
      <c r="H195" s="78" t="e">
        <f t="shared" si="26"/>
        <v>#VALUE!</v>
      </c>
      <c r="I195" s="78" t="e">
        <f t="shared" si="27"/>
        <v>#VALUE!</v>
      </c>
      <c r="J195" s="75"/>
      <c r="K195" s="79">
        <f>35615.53</f>
        <v>35615.53</v>
      </c>
      <c r="L195" s="79">
        <f t="shared" si="28"/>
        <v>32410.132300000001</v>
      </c>
      <c r="M195" s="76"/>
      <c r="N195" s="75" t="s">
        <v>42</v>
      </c>
      <c r="O195" s="80" t="s">
        <v>1412</v>
      </c>
      <c r="P195" s="81">
        <v>33512</v>
      </c>
      <c r="Q195" s="80" t="s">
        <v>336</v>
      </c>
      <c r="R195" s="81"/>
      <c r="S195" s="81">
        <v>43158</v>
      </c>
      <c r="T195" s="81"/>
      <c r="U195" s="81"/>
      <c r="V195" s="76"/>
      <c r="W195" s="76"/>
      <c r="X195" s="5"/>
      <c r="Y195" s="5"/>
      <c r="Z195" s="76" t="s">
        <v>35</v>
      </c>
      <c r="AA195" s="82" t="s">
        <v>36</v>
      </c>
      <c r="AB195" s="83" t="s">
        <v>37</v>
      </c>
      <c r="AC195" s="84"/>
      <c r="AD195" s="76"/>
      <c r="AE195" s="76"/>
      <c r="AF195" s="76"/>
      <c r="AG195" s="84"/>
      <c r="AH195" s="76"/>
      <c r="AI195" s="76"/>
      <c r="AJ195" s="76"/>
      <c r="AK195" s="84"/>
      <c r="AL195" s="84"/>
      <c r="AM195" s="84"/>
      <c r="AN195" s="84"/>
      <c r="AO195" s="84"/>
    </row>
    <row r="196" spans="1:41" s="1" customFormat="1" ht="45" customHeight="1" x14ac:dyDescent="0.2">
      <c r="A196" s="75">
        <v>27</v>
      </c>
      <c r="B196" s="75"/>
      <c r="C196" s="76" t="s">
        <v>614</v>
      </c>
      <c r="D196" s="76" t="s">
        <v>1413</v>
      </c>
      <c r="E196" s="75" t="s">
        <v>1414</v>
      </c>
      <c r="F196" s="75" t="e">
        <f>DATEDIF(P196,Q196,"y") + DATEDIF(T196,U196,"y") + DATEDIF(V196,W196,"y") + SUM(Z196) &amp; " años " &amp; DATEDIF(P196,Q196,"ym") + DATEDIF(T196,U196,"ym") + DATEDIF(V196,W196,"ym") + SUM(AA196) - SUM(AE196) &amp; " meses " &amp; DATEDIF(P196,Q196,"md") + DATEDIF(T196,U196,"md") + DATEDIF(V196,W196,"md") - SUM(AF196) &amp; " días"</f>
        <v>#VALUE!</v>
      </c>
      <c r="G196" s="77">
        <v>0.91</v>
      </c>
      <c r="H196" s="78" t="e">
        <f t="shared" si="26"/>
        <v>#VALUE!</v>
      </c>
      <c r="I196" s="78" t="e">
        <f t="shared" si="27"/>
        <v>#VALUE!</v>
      </c>
      <c r="J196" s="75"/>
      <c r="K196" s="79">
        <v>34575.769999999997</v>
      </c>
      <c r="L196" s="79">
        <f t="shared" si="28"/>
        <v>31463.950699999998</v>
      </c>
      <c r="M196" s="76"/>
      <c r="N196" s="75" t="s">
        <v>42</v>
      </c>
      <c r="O196" s="80" t="s">
        <v>1415</v>
      </c>
      <c r="P196" s="81">
        <v>33635</v>
      </c>
      <c r="Q196" s="80" t="s">
        <v>336</v>
      </c>
      <c r="R196" s="81"/>
      <c r="S196" s="81">
        <v>43888</v>
      </c>
      <c r="T196" s="81"/>
      <c r="U196" s="81"/>
      <c r="V196" s="76"/>
      <c r="W196" s="76"/>
      <c r="X196" s="5"/>
      <c r="Y196" s="5"/>
      <c r="Z196" s="76" t="s">
        <v>35</v>
      </c>
      <c r="AA196" s="82" t="s">
        <v>36</v>
      </c>
      <c r="AB196" s="83" t="s">
        <v>37</v>
      </c>
      <c r="AC196" s="84"/>
      <c r="AD196" s="76"/>
      <c r="AE196" s="76"/>
      <c r="AF196" s="76"/>
      <c r="AG196" s="84"/>
      <c r="AH196" s="76"/>
      <c r="AI196" s="76"/>
      <c r="AJ196" s="76"/>
      <c r="AK196" s="84"/>
      <c r="AL196" s="84"/>
      <c r="AM196" s="84"/>
      <c r="AN196" s="84"/>
      <c r="AO196" s="84"/>
    </row>
    <row r="197" spans="1:41" s="1" customFormat="1" ht="45" customHeight="1" x14ac:dyDescent="0.2">
      <c r="A197" s="75">
        <v>28</v>
      </c>
      <c r="B197" s="75"/>
      <c r="C197" s="76" t="s">
        <v>614</v>
      </c>
      <c r="D197" s="76" t="s">
        <v>1416</v>
      </c>
      <c r="E197" s="75" t="s">
        <v>1417</v>
      </c>
      <c r="F197" s="75" t="e">
        <f>DATEDIF(P197,Q197,"y") + DATEDIF(T197,U197,"y") + DATEDIF(V197,W197,"y") + SUM(Z197) &amp; " años " &amp; DATEDIF(P197,Q197,"ym") + DATEDIF(T197,U197,"ym") + DATEDIF(V197,W197,"ym") + SUM(AA197) - SUM(AE197) &amp; " meses " &amp; DATEDIF(P197,Q197,"md") + DATEDIF(T197,U197,"md") + DATEDIF(V197,W197,"md") - SUM(AF197) &amp; " días"</f>
        <v>#VALUE!</v>
      </c>
      <c r="G197" s="77">
        <v>0.97</v>
      </c>
      <c r="H197" s="78" t="e">
        <f t="shared" si="26"/>
        <v>#VALUE!</v>
      </c>
      <c r="I197" s="78" t="e">
        <f t="shared" si="27"/>
        <v>#VALUE!</v>
      </c>
      <c r="J197" s="75"/>
      <c r="K197" s="79">
        <f>35615.53</f>
        <v>35615.53</v>
      </c>
      <c r="L197" s="79">
        <f t="shared" si="28"/>
        <v>34547.064099999996</v>
      </c>
      <c r="M197" s="76"/>
      <c r="N197" s="75" t="s">
        <v>42</v>
      </c>
      <c r="O197" s="80" t="s">
        <v>1418</v>
      </c>
      <c r="P197" s="81">
        <v>32905</v>
      </c>
      <c r="Q197" s="80" t="s">
        <v>336</v>
      </c>
      <c r="R197" s="81"/>
      <c r="S197" s="81">
        <v>43158</v>
      </c>
      <c r="T197" s="81"/>
      <c r="U197" s="81"/>
      <c r="V197" s="76"/>
      <c r="W197" s="76"/>
      <c r="X197" s="5"/>
      <c r="Y197" s="5"/>
      <c r="Z197" s="76" t="s">
        <v>35</v>
      </c>
      <c r="AA197" s="82" t="s">
        <v>36</v>
      </c>
      <c r="AB197" s="83" t="s">
        <v>37</v>
      </c>
      <c r="AC197" s="84"/>
      <c r="AD197" s="76"/>
      <c r="AE197" s="76"/>
      <c r="AF197" s="76"/>
      <c r="AG197" s="84"/>
      <c r="AH197" s="76"/>
      <c r="AI197" s="76"/>
      <c r="AJ197" s="76"/>
      <c r="AK197" s="84"/>
      <c r="AL197" s="84"/>
      <c r="AM197" s="84"/>
      <c r="AN197" s="84"/>
      <c r="AO197" s="84"/>
    </row>
    <row r="198" spans="1:41" s="1" customFormat="1" ht="45" customHeight="1" x14ac:dyDescent="0.2">
      <c r="A198" s="75">
        <v>29</v>
      </c>
      <c r="B198" s="75"/>
      <c r="C198" s="76" t="s">
        <v>614</v>
      </c>
      <c r="D198" s="76" t="s">
        <v>1419</v>
      </c>
      <c r="E198" s="75" t="s">
        <v>1420</v>
      </c>
      <c r="F198" s="75" t="e">
        <f>DATEDIF(P198,Q198,"y") + DATEDIF(T198,U198,"y") + DATEDIF(V198,W198,"y") + SUM(Z198) &amp; " años " &amp; DATEDIF(P198,Q198,"ym") + DATEDIF(T198,U198,"ym") + DATEDIF(V198,W198,"ym") + SUM(AA198) - SUM(AE198) &amp; " meses " &amp; DATEDIF(P198,Q198,"md") + DATEDIF(T198,U198,"md") + DATEDIF(V198,W198,"md") - SUM(AF198) &amp; " días"</f>
        <v>#VALUE!</v>
      </c>
      <c r="G198" s="77">
        <v>0.85</v>
      </c>
      <c r="H198" s="78" t="e">
        <f t="shared" si="26"/>
        <v>#VALUE!</v>
      </c>
      <c r="I198" s="78" t="e">
        <f t="shared" si="27"/>
        <v>#VALUE!</v>
      </c>
      <c r="J198" s="75"/>
      <c r="K198" s="79">
        <v>34575.78</v>
      </c>
      <c r="L198" s="79">
        <f t="shared" si="28"/>
        <v>29389.412999999997</v>
      </c>
      <c r="M198" s="76"/>
      <c r="N198" s="75" t="s">
        <v>42</v>
      </c>
      <c r="O198" s="80" t="s">
        <v>1421</v>
      </c>
      <c r="P198" s="81">
        <v>34335</v>
      </c>
      <c r="Q198" s="80" t="s">
        <v>336</v>
      </c>
      <c r="R198" s="81"/>
      <c r="S198" s="81">
        <v>44619</v>
      </c>
      <c r="T198" s="81"/>
      <c r="U198" s="81"/>
      <c r="V198" s="76"/>
      <c r="W198" s="76"/>
      <c r="X198" s="5"/>
      <c r="Y198" s="5"/>
      <c r="Z198" s="76" t="s">
        <v>35</v>
      </c>
      <c r="AA198" s="82" t="s">
        <v>36</v>
      </c>
      <c r="AB198" s="83" t="s">
        <v>37</v>
      </c>
      <c r="AC198" s="84"/>
      <c r="AD198" s="76"/>
      <c r="AE198" s="76"/>
      <c r="AF198" s="76"/>
      <c r="AG198" s="84"/>
      <c r="AH198" s="76"/>
      <c r="AI198" s="76"/>
      <c r="AJ198" s="76"/>
      <c r="AK198" s="84"/>
      <c r="AL198" s="84"/>
      <c r="AM198" s="84"/>
      <c r="AN198" s="84"/>
      <c r="AO198" s="84"/>
    </row>
    <row r="199" spans="1:41" s="1" customFormat="1" ht="45" customHeight="1" x14ac:dyDescent="0.2">
      <c r="A199" s="75">
        <v>30</v>
      </c>
      <c r="B199" s="75"/>
      <c r="C199" s="76" t="s">
        <v>614</v>
      </c>
      <c r="D199" s="76" t="s">
        <v>1422</v>
      </c>
      <c r="E199" s="75" t="s">
        <v>1423</v>
      </c>
      <c r="F199" s="75" t="e">
        <f>DATEDIF(P199,Q199,"y") + DATEDIF(T199,U199,"y") + DATEDIF(V199,W199,"y") + SUM(Z199) &amp; " años " &amp; DATEDIF(P199,Q199,"ym") + DATEDIF(T199,U199,"ym") + DATEDIF(V199,W199,"ym") + SUM(AA199) - SUM(AE199) &amp; " meses " &amp; DATEDIF(P199,Q199,"md") + DATEDIF(T199,U199,"md") + DATEDIF(V199,W199,"md") - SUM(AF199) &amp; " días"</f>
        <v>#VALUE!</v>
      </c>
      <c r="G199" s="85">
        <v>0.82499999999999996</v>
      </c>
      <c r="H199" s="78" t="e">
        <f t="shared" si="26"/>
        <v>#VALUE!</v>
      </c>
      <c r="I199" s="78" t="e">
        <f t="shared" si="27"/>
        <v>#VALUE!</v>
      </c>
      <c r="J199" s="75"/>
      <c r="K199" s="79">
        <f>35615.53</f>
        <v>35615.53</v>
      </c>
      <c r="L199" s="79">
        <f t="shared" si="28"/>
        <v>29382.812249999999</v>
      </c>
      <c r="M199" s="76"/>
      <c r="N199" s="75" t="s">
        <v>42</v>
      </c>
      <c r="O199" s="80" t="s">
        <v>1424</v>
      </c>
      <c r="P199" s="81">
        <v>34820</v>
      </c>
      <c r="Q199" s="80" t="s">
        <v>1959</v>
      </c>
      <c r="R199" s="81"/>
      <c r="S199" s="81">
        <v>43523</v>
      </c>
      <c r="T199" s="81"/>
      <c r="U199" s="81"/>
      <c r="V199" s="76"/>
      <c r="W199" s="76"/>
      <c r="X199" s="5"/>
      <c r="Y199" s="5"/>
      <c r="Z199" s="76" t="s">
        <v>1425</v>
      </c>
      <c r="AA199" s="82" t="s">
        <v>36</v>
      </c>
      <c r="AB199" s="83" t="s">
        <v>37</v>
      </c>
      <c r="AC199" s="84"/>
      <c r="AD199" s="76"/>
      <c r="AE199" s="76"/>
      <c r="AF199" s="76"/>
      <c r="AG199" s="84"/>
      <c r="AH199" s="76"/>
      <c r="AI199" s="76"/>
      <c r="AJ199" s="76"/>
      <c r="AK199" s="84"/>
      <c r="AL199" s="84"/>
      <c r="AM199" s="84"/>
      <c r="AN199" s="84"/>
      <c r="AO199" s="84"/>
    </row>
    <row r="200" spans="1:41" s="1" customFormat="1" ht="45" customHeight="1" x14ac:dyDescent="0.2">
      <c r="A200" s="75">
        <v>31</v>
      </c>
      <c r="B200" s="75"/>
      <c r="C200" s="76" t="s">
        <v>202</v>
      </c>
      <c r="D200" s="76" t="s">
        <v>1426</v>
      </c>
      <c r="E200" s="75" t="s">
        <v>1427</v>
      </c>
      <c r="F200" s="75" t="e">
        <f t="shared" ref="F200:F213" si="29">DATEDIF(P200,Q200,"y") + DATEDIF(T200,U200,"y") + DATEDIF(V200,W200,"y") + SUM(AD200) &amp; " años " &amp; DATEDIF(P200,Q200,"ym") + DATEDIF(T200,U200,"ym") + DATEDIF(V200,W200,"ym") + SUM(AE200) - SUM(AI200) &amp; " meses " &amp; DATEDIF(P200,Q200,"md") + DATEDIF(T200,U200,"md") + DATEDIF(V200,W200,"md") - SUM(AJ200) &amp; " días"</f>
        <v>#VALUE!</v>
      </c>
      <c r="G200" s="77">
        <v>0.88</v>
      </c>
      <c r="H200" s="78" t="e">
        <f t="shared" si="26"/>
        <v>#VALUE!</v>
      </c>
      <c r="I200" s="78" t="e">
        <f t="shared" si="27"/>
        <v>#VALUE!</v>
      </c>
      <c r="J200" s="75"/>
      <c r="K200" s="79">
        <f>32541.77</f>
        <v>32541.77</v>
      </c>
      <c r="L200" s="79">
        <f t="shared" si="28"/>
        <v>28636.757600000001</v>
      </c>
      <c r="M200" s="76"/>
      <c r="N200" s="75" t="s">
        <v>42</v>
      </c>
      <c r="O200" s="80" t="s">
        <v>1428</v>
      </c>
      <c r="P200" s="81">
        <v>34029</v>
      </c>
      <c r="Q200" s="80" t="s">
        <v>336</v>
      </c>
      <c r="R200" s="81"/>
      <c r="S200" s="81">
        <v>43888</v>
      </c>
      <c r="T200" s="81"/>
      <c r="U200" s="81"/>
      <c r="V200" s="76"/>
      <c r="W200" s="76"/>
      <c r="X200" s="5"/>
      <c r="Y200" s="5"/>
      <c r="Z200" s="76" t="s">
        <v>35</v>
      </c>
      <c r="AA200" s="82" t="s">
        <v>36</v>
      </c>
      <c r="AB200" s="83" t="s">
        <v>37</v>
      </c>
      <c r="AC200" s="84"/>
      <c r="AD200" s="76"/>
      <c r="AE200" s="76"/>
      <c r="AF200" s="76"/>
      <c r="AG200" s="84"/>
      <c r="AH200" s="76"/>
      <c r="AI200" s="76"/>
      <c r="AJ200" s="76"/>
      <c r="AK200" s="84"/>
      <c r="AL200" s="84"/>
      <c r="AM200" s="84"/>
      <c r="AN200" s="84"/>
      <c r="AO200" s="84"/>
    </row>
    <row r="201" spans="1:41" s="1" customFormat="1" ht="45" customHeight="1" x14ac:dyDescent="0.2">
      <c r="A201" s="75">
        <v>32</v>
      </c>
      <c r="B201" s="75"/>
      <c r="C201" s="76" t="s">
        <v>202</v>
      </c>
      <c r="D201" s="76" t="s">
        <v>1429</v>
      </c>
      <c r="E201" s="75" t="s">
        <v>1430</v>
      </c>
      <c r="F201" s="75" t="e">
        <f t="shared" si="29"/>
        <v>#VALUE!</v>
      </c>
      <c r="G201" s="77">
        <v>0.7</v>
      </c>
      <c r="H201" s="78" t="e">
        <f t="shared" si="26"/>
        <v>#VALUE!</v>
      </c>
      <c r="I201" s="78" t="e">
        <f t="shared" si="27"/>
        <v>#VALUE!</v>
      </c>
      <c r="J201" s="75"/>
      <c r="K201" s="79">
        <f>34575.78</f>
        <v>34575.78</v>
      </c>
      <c r="L201" s="79">
        <f t="shared" si="28"/>
        <v>24203.045999999998</v>
      </c>
      <c r="M201" s="76"/>
      <c r="N201" s="75" t="s">
        <v>42</v>
      </c>
      <c r="O201" s="80" t="s">
        <v>1431</v>
      </c>
      <c r="P201" s="81">
        <v>36861</v>
      </c>
      <c r="Q201" s="80" t="s">
        <v>336</v>
      </c>
      <c r="R201" s="81"/>
      <c r="S201" s="81">
        <v>42793</v>
      </c>
      <c r="T201" s="81">
        <v>33253</v>
      </c>
      <c r="U201" s="81">
        <v>33593</v>
      </c>
      <c r="V201" s="76"/>
      <c r="W201" s="76"/>
      <c r="X201" s="5"/>
      <c r="Y201" s="5"/>
      <c r="Z201" s="76" t="s">
        <v>35</v>
      </c>
      <c r="AA201" s="82" t="s">
        <v>36</v>
      </c>
      <c r="AB201" s="83" t="s">
        <v>37</v>
      </c>
      <c r="AC201" s="84"/>
      <c r="AD201" s="76">
        <v>1</v>
      </c>
      <c r="AE201" s="76"/>
      <c r="AF201" s="76"/>
      <c r="AG201" s="84"/>
      <c r="AH201" s="76"/>
      <c r="AI201" s="76">
        <v>12</v>
      </c>
      <c r="AJ201" s="76"/>
      <c r="AK201" s="84"/>
      <c r="AL201" s="84"/>
      <c r="AM201" s="84"/>
      <c r="AN201" s="84"/>
      <c r="AO201" s="84"/>
    </row>
    <row r="202" spans="1:41" s="1" customFormat="1" ht="45" customHeight="1" x14ac:dyDescent="0.2">
      <c r="A202" s="75">
        <v>33</v>
      </c>
      <c r="B202" s="75"/>
      <c r="C202" s="76" t="s">
        <v>202</v>
      </c>
      <c r="D202" s="76" t="s">
        <v>1432</v>
      </c>
      <c r="E202" s="75" t="s">
        <v>1433</v>
      </c>
      <c r="F202" s="75" t="e">
        <f t="shared" ref="F202:F203" si="30">DATEDIF(P202,Q202,"y") + DATEDIF(T202,U202,"y") + DATEDIF(V202,W202,"y") + SUM(AD202) &amp; " años " &amp; DATEDIF(P202,Q202,"ym") + DATEDIF(T202,U202,"ym") + DATEDIF(V202,W202,"ym") + SUM(AE202) - SUM(AI202) &amp; " meses " &amp; DATEDIF(P202,Q202,"md") + DATEDIF(T202,U202,"md") + DATEDIF(V202,W202,"md") - SUM(AJ202) &amp; " días"</f>
        <v>#VALUE!</v>
      </c>
      <c r="G202" s="85">
        <v>0.72499999999999998</v>
      </c>
      <c r="H202" s="78" t="e">
        <f t="shared" si="26"/>
        <v>#VALUE!</v>
      </c>
      <c r="I202" s="78" t="e">
        <f t="shared" si="27"/>
        <v>#VALUE!</v>
      </c>
      <c r="J202" s="75"/>
      <c r="K202" s="79">
        <f>32541.78</f>
        <v>32541.78</v>
      </c>
      <c r="L202" s="79">
        <f t="shared" si="28"/>
        <v>23592.790499999999</v>
      </c>
      <c r="M202" s="76"/>
      <c r="N202" s="75" t="s">
        <v>42</v>
      </c>
      <c r="O202" s="80" t="s">
        <v>1434</v>
      </c>
      <c r="P202" s="81">
        <v>36312</v>
      </c>
      <c r="Q202" s="80" t="s">
        <v>336</v>
      </c>
      <c r="R202" s="81"/>
      <c r="S202" s="81">
        <v>44984</v>
      </c>
      <c r="T202" s="81"/>
      <c r="U202" s="81"/>
      <c r="V202" s="76"/>
      <c r="W202" s="76"/>
      <c r="X202" s="5"/>
      <c r="Y202" s="5"/>
      <c r="Z202" s="76" t="s">
        <v>134</v>
      </c>
      <c r="AA202" s="82" t="s">
        <v>36</v>
      </c>
      <c r="AB202" s="83" t="s">
        <v>37</v>
      </c>
      <c r="AC202" s="84"/>
      <c r="AD202" s="76"/>
      <c r="AE202" s="76"/>
      <c r="AF202" s="76"/>
      <c r="AG202" s="84"/>
      <c r="AH202" s="76"/>
      <c r="AI202" s="76"/>
      <c r="AJ202" s="76"/>
      <c r="AK202" s="84"/>
      <c r="AL202" s="84"/>
      <c r="AM202" s="84"/>
      <c r="AN202" s="84"/>
      <c r="AO202" s="84"/>
    </row>
    <row r="203" spans="1:41" s="1" customFormat="1" ht="45" customHeight="1" x14ac:dyDescent="0.2">
      <c r="A203" s="75">
        <v>34</v>
      </c>
      <c r="B203" s="75"/>
      <c r="C203" s="76" t="s">
        <v>202</v>
      </c>
      <c r="D203" s="76" t="s">
        <v>1435</v>
      </c>
      <c r="E203" s="75" t="s">
        <v>1436</v>
      </c>
      <c r="F203" s="75" t="e">
        <f t="shared" si="30"/>
        <v>#VALUE!</v>
      </c>
      <c r="G203" s="85">
        <v>0.625</v>
      </c>
      <c r="H203" s="78" t="e">
        <f t="shared" si="26"/>
        <v>#VALUE!</v>
      </c>
      <c r="I203" s="78" t="e">
        <f t="shared" si="27"/>
        <v>#VALUE!</v>
      </c>
      <c r="J203" s="75"/>
      <c r="K203" s="79">
        <f>34575.78+8000</f>
        <v>42575.78</v>
      </c>
      <c r="L203" s="79">
        <f t="shared" si="28"/>
        <v>26609.862499999999</v>
      </c>
      <c r="M203" s="76"/>
      <c r="N203" s="75" t="s">
        <v>42</v>
      </c>
      <c r="O203" s="80" t="s">
        <v>1437</v>
      </c>
      <c r="P203" s="81">
        <v>37803</v>
      </c>
      <c r="Q203" s="80" t="s">
        <v>336</v>
      </c>
      <c r="R203" s="81"/>
      <c r="S203" s="81">
        <v>42793</v>
      </c>
      <c r="T203" s="81"/>
      <c r="U203" s="81"/>
      <c r="V203" s="76"/>
      <c r="W203" s="76"/>
      <c r="X203" s="5"/>
      <c r="Y203" s="5"/>
      <c r="Z203" s="76" t="s">
        <v>134</v>
      </c>
      <c r="AA203" s="82" t="s">
        <v>36</v>
      </c>
      <c r="AB203" s="83" t="s">
        <v>37</v>
      </c>
      <c r="AC203" s="84"/>
      <c r="AD203" s="76"/>
      <c r="AE203" s="76"/>
      <c r="AF203" s="76"/>
      <c r="AG203" s="84"/>
      <c r="AH203" s="76"/>
      <c r="AI203" s="76"/>
      <c r="AJ203" s="76"/>
      <c r="AK203" s="84"/>
      <c r="AL203" s="84"/>
      <c r="AM203" s="84"/>
      <c r="AN203" s="84"/>
      <c r="AO203" s="84"/>
    </row>
    <row r="204" spans="1:41" s="1" customFormat="1" ht="45" customHeight="1" x14ac:dyDescent="0.2">
      <c r="A204" s="75">
        <v>35</v>
      </c>
      <c r="B204" s="75"/>
      <c r="C204" s="76" t="s">
        <v>202</v>
      </c>
      <c r="D204" s="76" t="s">
        <v>1438</v>
      </c>
      <c r="E204" s="75" t="s">
        <v>1439</v>
      </c>
      <c r="F204" s="75" t="e">
        <f>DATEDIF(P204,Q204,"y") + DATEDIF(T204,U204,"y") + DATEDIF(V204,W204,"y") + SUM(AD204) &amp; " años " &amp; DATEDIF(P204,Q204,"ym") + DATEDIF(T204,U204,"ym") + DATEDIF(V204,W204,"ym") + SUM(AE204) - SUM(AI204) &amp; " meses " &amp; DATEDIF(P204,Q204,"md") + DATEDIF(T204,U204,"md") + DATEDIF(V204,W204,"md") - SUM(AJ204) &amp; " días"</f>
        <v>#VALUE!</v>
      </c>
      <c r="G204" s="77">
        <v>0.8</v>
      </c>
      <c r="H204" s="78" t="e">
        <f>DATEDIF(R204,Q204,"y") &amp; " años " &amp; DATEDIF(R204,Q204,"ym") &amp; " meses " &amp; DATEDIF(R204,Q204,"md") &amp; " días"</f>
        <v>#VALUE!</v>
      </c>
      <c r="I204" s="78" t="e">
        <f>DATEDIF(S204,Q204,"y") &amp; " años " &amp; DATEDIF(S204,Q204,"ym") &amp; " meses " &amp; DATEDIF(S204,Q204,"md") &amp; " días"</f>
        <v>#VALUE!</v>
      </c>
      <c r="J204" s="75"/>
      <c r="K204" s="79">
        <v>32541.78</v>
      </c>
      <c r="L204" s="79">
        <f>K204*G204</f>
        <v>26033.423999999999</v>
      </c>
      <c r="M204" s="76"/>
      <c r="N204" s="75" t="s">
        <v>42</v>
      </c>
      <c r="O204" s="80" t="s">
        <v>1440</v>
      </c>
      <c r="P204" s="81">
        <v>35125</v>
      </c>
      <c r="Q204" s="80" t="s">
        <v>336</v>
      </c>
      <c r="R204" s="81"/>
      <c r="S204" s="81">
        <v>43888</v>
      </c>
      <c r="T204" s="81"/>
      <c r="U204" s="81"/>
      <c r="V204" s="76"/>
      <c r="W204" s="76"/>
      <c r="X204" s="5"/>
      <c r="Y204" s="5"/>
      <c r="Z204" s="76" t="s">
        <v>190</v>
      </c>
      <c r="AA204" s="82" t="s">
        <v>36</v>
      </c>
      <c r="AB204" s="83" t="s">
        <v>37</v>
      </c>
      <c r="AC204" s="84"/>
      <c r="AD204" s="76"/>
      <c r="AE204" s="76"/>
      <c r="AF204" s="76"/>
      <c r="AG204" s="84"/>
      <c r="AH204" s="76"/>
      <c r="AI204" s="76"/>
      <c r="AJ204" s="76"/>
      <c r="AK204" s="84"/>
      <c r="AL204" s="84"/>
      <c r="AM204" s="84"/>
      <c r="AN204" s="84"/>
      <c r="AO204" s="84"/>
    </row>
    <row r="205" spans="1:41" s="1" customFormat="1" ht="45" customHeight="1" x14ac:dyDescent="0.2">
      <c r="A205" s="75">
        <v>36</v>
      </c>
      <c r="B205" s="75"/>
      <c r="C205" s="76" t="s">
        <v>202</v>
      </c>
      <c r="D205" s="76" t="s">
        <v>1441</v>
      </c>
      <c r="E205" s="75" t="s">
        <v>1442</v>
      </c>
      <c r="F205" s="75" t="e">
        <f>DATEDIF(P205,Q205,"y") + DATEDIF(T205,U205,"y") + DATEDIF(V205,W205,"y") + SUM(AD205) &amp; " años " &amp; DATEDIF(P205,Q205,"ym") + DATEDIF(T205,U205,"ym") + DATEDIF(V205,W205,"ym") + SUM(AE205) - SUM(AI205) &amp; " meses " &amp; DATEDIF(P205,Q205,"md") + DATEDIF(T205,U205,"md") + DATEDIF(V205,W205,"md") - SUM(AJ205) &amp; " días"</f>
        <v>#VALUE!</v>
      </c>
      <c r="G205" s="77">
        <v>0.7</v>
      </c>
      <c r="H205" s="78" t="e">
        <f>DATEDIF(R205,Q205,"y") &amp; " años " &amp; DATEDIF(R205,Q205,"ym") &amp; " meses " &amp; DATEDIF(R205,Q205,"md") &amp; " días"</f>
        <v>#VALUE!</v>
      </c>
      <c r="I205" s="78" t="e">
        <f>DATEDIF(S205,Q205,"y") &amp; " años " &amp; DATEDIF(S205,Q205,"ym") &amp; " meses " &amp; DATEDIF(S205,Q205,"md") &amp; " días"</f>
        <v>#VALUE!</v>
      </c>
      <c r="J205" s="75"/>
      <c r="K205" s="79">
        <f>32541.77</f>
        <v>32541.77</v>
      </c>
      <c r="L205" s="79">
        <f>K205*G205</f>
        <v>22779.238999999998</v>
      </c>
      <c r="M205" s="76"/>
      <c r="N205" s="75" t="s">
        <v>42</v>
      </c>
      <c r="O205" s="80" t="s">
        <v>1443</v>
      </c>
      <c r="P205" s="81">
        <v>36770</v>
      </c>
      <c r="Q205" s="80" t="s">
        <v>336</v>
      </c>
      <c r="R205" s="81"/>
      <c r="S205" s="81">
        <v>44619</v>
      </c>
      <c r="T205" s="81"/>
      <c r="U205" s="81"/>
      <c r="V205" s="76"/>
      <c r="W205" s="76"/>
      <c r="X205" s="5"/>
      <c r="Y205" s="5"/>
      <c r="Z205" s="76" t="s">
        <v>190</v>
      </c>
      <c r="AA205" s="82" t="s">
        <v>36</v>
      </c>
      <c r="AB205" s="83" t="s">
        <v>37</v>
      </c>
      <c r="AC205" s="84"/>
      <c r="AD205" s="76"/>
      <c r="AE205" s="76"/>
      <c r="AF205" s="76"/>
      <c r="AG205" s="84"/>
      <c r="AH205" s="76"/>
      <c r="AI205" s="76"/>
      <c r="AJ205" s="76"/>
      <c r="AK205" s="84"/>
      <c r="AL205" s="84"/>
      <c r="AM205" s="84"/>
      <c r="AN205" s="84"/>
      <c r="AO205" s="84"/>
    </row>
    <row r="206" spans="1:41" s="1" customFormat="1" ht="45" customHeight="1" x14ac:dyDescent="0.2">
      <c r="A206" s="75">
        <v>37</v>
      </c>
      <c r="B206" s="75"/>
      <c r="C206" s="76" t="s">
        <v>202</v>
      </c>
      <c r="D206" s="76" t="s">
        <v>1444</v>
      </c>
      <c r="E206" s="75" t="s">
        <v>1445</v>
      </c>
      <c r="F206" s="75" t="e">
        <f>DATEDIF(P206,Q206,"y") + DATEDIF(T206,U206,"y") + DATEDIF(V206,W206,"y") + SUM(AD206) &amp; " años " &amp; DATEDIF(P206,Q206,"ym") + DATEDIF(T206,U206,"ym") + DATEDIF(V206,W206,"ym") + SUM(AE206) - SUM(AI206) &amp; " meses " &amp; DATEDIF(P206,Q206,"md") + DATEDIF(T206,U206,"md") + DATEDIF(V206,W206,"md") - SUM(AJ206) &amp; " días"</f>
        <v>#VALUE!</v>
      </c>
      <c r="G206" s="77">
        <v>0.8</v>
      </c>
      <c r="H206" s="78" t="e">
        <f>DATEDIF(R206,Q206,"y") &amp; " años " &amp; DATEDIF(R206,Q206,"ym") &amp; " meses " &amp; DATEDIF(R206,Q206,"md") &amp; " días"</f>
        <v>#VALUE!</v>
      </c>
      <c r="I206" s="78" t="e">
        <f>DATEDIF(S206,Q206,"y") &amp; " años " &amp; DATEDIF(S206,Q206,"ym") &amp; " meses " &amp; DATEDIF(S206,Q206,"md") &amp; " días"</f>
        <v>#VALUE!</v>
      </c>
      <c r="J206" s="75"/>
      <c r="K206" s="79">
        <f>34575.78</f>
        <v>34575.78</v>
      </c>
      <c r="L206" s="79">
        <f>K206*G206</f>
        <v>27660.624</v>
      </c>
      <c r="M206" s="76"/>
      <c r="N206" s="75" t="s">
        <v>42</v>
      </c>
      <c r="O206" s="80" t="s">
        <v>1446</v>
      </c>
      <c r="P206" s="81">
        <v>35125</v>
      </c>
      <c r="Q206" s="80" t="s">
        <v>336</v>
      </c>
      <c r="R206" s="81"/>
      <c r="S206" s="81">
        <v>43523</v>
      </c>
      <c r="T206" s="81"/>
      <c r="U206" s="81"/>
      <c r="V206" s="76"/>
      <c r="W206" s="76"/>
      <c r="X206" s="5"/>
      <c r="Y206" s="5"/>
      <c r="Z206" s="76" t="s">
        <v>190</v>
      </c>
      <c r="AA206" s="82" t="s">
        <v>36</v>
      </c>
      <c r="AB206" s="83" t="s">
        <v>37</v>
      </c>
      <c r="AC206" s="84"/>
      <c r="AD206" s="76"/>
      <c r="AE206" s="76"/>
      <c r="AF206" s="76"/>
      <c r="AG206" s="84"/>
      <c r="AH206" s="76"/>
      <c r="AI206" s="76"/>
      <c r="AJ206" s="76"/>
      <c r="AK206" s="84"/>
      <c r="AL206" s="84"/>
      <c r="AM206" s="84"/>
      <c r="AN206" s="84"/>
      <c r="AO206" s="84"/>
    </row>
    <row r="207" spans="1:41" s="1" customFormat="1" ht="45" customHeight="1" x14ac:dyDescent="0.2">
      <c r="A207" s="75">
        <v>38</v>
      </c>
      <c r="B207" s="75"/>
      <c r="C207" s="76" t="s">
        <v>202</v>
      </c>
      <c r="D207" s="76" t="s">
        <v>1447</v>
      </c>
      <c r="E207" s="75" t="s">
        <v>1448</v>
      </c>
      <c r="F207" s="75" t="e">
        <f>DATEDIF(P207,Q207,"y") + DATEDIF(T207,U207,"y") + DATEDIF(V207,W207,"y") + SUM(AD207) &amp; " años " &amp; DATEDIF(P207,Q207,"ym") + DATEDIF(T207,U207,"ym") + DATEDIF(V207,W207,"ym") + SUM(AE207) - SUM(AI207) &amp; " meses " &amp; DATEDIF(P207,Q207,"md") + DATEDIF(T207,U207,"md") + DATEDIF(V207,W207,"md") - SUM(AJ207) &amp; " días"</f>
        <v>#VALUE!</v>
      </c>
      <c r="G207" s="85">
        <v>0.72499999999999998</v>
      </c>
      <c r="H207" s="78" t="e">
        <f>DATEDIF(R207,Q207,"y") &amp; " años " &amp; DATEDIF(R207,Q207,"ym") &amp; " meses " &amp; DATEDIF(R207,Q207,"md") &amp; " días"</f>
        <v>#VALUE!</v>
      </c>
      <c r="I207" s="78" t="e">
        <f>DATEDIF(S207,Q207,"y") &amp; " años " &amp; DATEDIF(S207,Q207,"ym") &amp; " meses " &amp; DATEDIF(S207,Q207,"md") &amp; " días"</f>
        <v>#VALUE!</v>
      </c>
      <c r="J207" s="75"/>
      <c r="K207" s="79">
        <v>32541.78</v>
      </c>
      <c r="L207" s="79">
        <f>K207*G207</f>
        <v>23592.790499999999</v>
      </c>
      <c r="M207" s="76"/>
      <c r="N207" s="75" t="s">
        <v>42</v>
      </c>
      <c r="O207" s="80" t="s">
        <v>1449</v>
      </c>
      <c r="P207" s="81">
        <v>36770</v>
      </c>
      <c r="Q207" s="80" t="s">
        <v>336</v>
      </c>
      <c r="R207" s="81"/>
      <c r="S207" s="81">
        <v>43888</v>
      </c>
      <c r="T207" s="81">
        <v>36220</v>
      </c>
      <c r="U207" s="81">
        <v>36635</v>
      </c>
      <c r="V207" s="76"/>
      <c r="W207" s="76"/>
      <c r="X207" s="5"/>
      <c r="Y207" s="5"/>
      <c r="Z207" s="76" t="s">
        <v>190</v>
      </c>
      <c r="AA207" s="82" t="s">
        <v>36</v>
      </c>
      <c r="AB207" s="83" t="s">
        <v>37</v>
      </c>
      <c r="AC207" s="84"/>
      <c r="AD207" s="76"/>
      <c r="AE207" s="76"/>
      <c r="AF207" s="76"/>
      <c r="AG207" s="84"/>
      <c r="AH207" s="76"/>
      <c r="AI207" s="76"/>
      <c r="AJ207" s="76"/>
      <c r="AK207" s="84"/>
      <c r="AL207" s="84"/>
      <c r="AM207" s="84"/>
      <c r="AN207" s="84"/>
      <c r="AO207" s="84"/>
    </row>
    <row r="208" spans="1:41" s="1" customFormat="1" ht="45" customHeight="1" x14ac:dyDescent="0.2">
      <c r="A208" s="75">
        <v>39</v>
      </c>
      <c r="B208" s="75"/>
      <c r="C208" s="76" t="s">
        <v>202</v>
      </c>
      <c r="D208" s="76" t="s">
        <v>1450</v>
      </c>
      <c r="E208" s="75" t="s">
        <v>1451</v>
      </c>
      <c r="F208" s="75" t="e">
        <f>DATEDIF(P208,Q208,"y") + DATEDIF(T208,U208,"y") + DATEDIF(V208,W208,"y") + SUM(AD208) &amp; " años " &amp; DATEDIF(P208,Q208,"ym") + DATEDIF(T208,U208,"ym") + DATEDIF(V208,W208,"ym") + SUM(AE208) - SUM(AI208) &amp; " meses " &amp; DATEDIF(P208,Q208,"md") + DATEDIF(T208,U208,"md") + DATEDIF(V208,W208,"md") - SUM(AJ208) &amp; " días"</f>
        <v>#VALUE!</v>
      </c>
      <c r="G208" s="77">
        <v>0.65</v>
      </c>
      <c r="H208" s="78" t="e">
        <f>DATEDIF(R208,Q208,"y") &amp; " años " &amp; DATEDIF(R208,Q208,"ym") &amp; " meses " &amp; DATEDIF(R208,Q208,"md") &amp; " días"</f>
        <v>#VALUE!</v>
      </c>
      <c r="I208" s="78" t="e">
        <f>DATEDIF(S208,Q208,"y") &amp; " años " &amp; DATEDIF(S208,Q208,"ym") &amp; " meses " &amp; DATEDIF(S208,Q208,"md") &amp; " días"</f>
        <v>#VALUE!</v>
      </c>
      <c r="J208" s="75"/>
      <c r="K208" s="79">
        <v>32541.77</v>
      </c>
      <c r="L208" s="79">
        <f>K208*G208</f>
        <v>21152.1505</v>
      </c>
      <c r="M208" s="76"/>
      <c r="N208" s="75" t="s">
        <v>42</v>
      </c>
      <c r="O208" s="80" t="s">
        <v>1452</v>
      </c>
      <c r="P208" s="81">
        <v>37408</v>
      </c>
      <c r="Q208" s="80" t="s">
        <v>336</v>
      </c>
      <c r="R208" s="81"/>
      <c r="S208" s="81">
        <v>44984</v>
      </c>
      <c r="T208" s="81"/>
      <c r="U208" s="81"/>
      <c r="V208" s="76"/>
      <c r="W208" s="76"/>
      <c r="X208" s="5"/>
      <c r="Y208" s="5"/>
      <c r="Z208" s="76" t="s">
        <v>190</v>
      </c>
      <c r="AA208" s="82" t="s">
        <v>36</v>
      </c>
      <c r="AB208" s="83" t="s">
        <v>37</v>
      </c>
      <c r="AC208" s="84"/>
      <c r="AD208" s="76"/>
      <c r="AE208" s="76"/>
      <c r="AF208" s="76"/>
      <c r="AG208" s="84"/>
      <c r="AH208" s="76"/>
      <c r="AI208" s="76"/>
      <c r="AJ208" s="76"/>
      <c r="AK208" s="84"/>
      <c r="AL208" s="84"/>
      <c r="AM208" s="84"/>
      <c r="AN208" s="84"/>
      <c r="AO208" s="84"/>
    </row>
    <row r="209" spans="1:41" s="1" customFormat="1" ht="45" customHeight="1" x14ac:dyDescent="0.2">
      <c r="A209" s="75">
        <v>40</v>
      </c>
      <c r="B209" s="75"/>
      <c r="C209" s="76" t="s">
        <v>202</v>
      </c>
      <c r="D209" s="76" t="s">
        <v>1453</v>
      </c>
      <c r="E209" s="75" t="s">
        <v>1454</v>
      </c>
      <c r="F209" s="75" t="e">
        <f t="shared" si="29"/>
        <v>#VALUE!</v>
      </c>
      <c r="G209" s="77">
        <v>0.88</v>
      </c>
      <c r="H209" s="78" t="e">
        <f t="shared" si="26"/>
        <v>#VALUE!</v>
      </c>
      <c r="I209" s="78" t="e">
        <f t="shared" si="27"/>
        <v>#VALUE!</v>
      </c>
      <c r="J209" s="75"/>
      <c r="K209" s="79">
        <f>32541.77</f>
        <v>32541.77</v>
      </c>
      <c r="L209" s="79">
        <f t="shared" si="28"/>
        <v>28636.757600000001</v>
      </c>
      <c r="M209" s="76"/>
      <c r="N209" s="75" t="s">
        <v>42</v>
      </c>
      <c r="O209" s="80" t="s">
        <v>1455</v>
      </c>
      <c r="P209" s="81">
        <v>34029</v>
      </c>
      <c r="Q209" s="80" t="s">
        <v>336</v>
      </c>
      <c r="R209" s="81"/>
      <c r="S209" s="81">
        <v>43888</v>
      </c>
      <c r="T209" s="81"/>
      <c r="U209" s="81"/>
      <c r="V209" s="76"/>
      <c r="W209" s="76"/>
      <c r="X209" s="5"/>
      <c r="Y209" s="5"/>
      <c r="Z209" s="76" t="s">
        <v>190</v>
      </c>
      <c r="AA209" s="82" t="s">
        <v>36</v>
      </c>
      <c r="AB209" s="83" t="s">
        <v>37</v>
      </c>
      <c r="AC209" s="84"/>
      <c r="AD209" s="76"/>
      <c r="AE209" s="76"/>
      <c r="AF209" s="76"/>
      <c r="AG209" s="84"/>
      <c r="AH209" s="76"/>
      <c r="AI209" s="76"/>
      <c r="AJ209" s="76"/>
      <c r="AK209" s="84"/>
      <c r="AL209" s="84"/>
      <c r="AM209" s="84"/>
      <c r="AN209" s="84"/>
      <c r="AO209" s="84"/>
    </row>
    <row r="210" spans="1:41" s="1" customFormat="1" ht="45" customHeight="1" x14ac:dyDescent="0.2">
      <c r="A210" s="75">
        <v>41</v>
      </c>
      <c r="B210" s="75"/>
      <c r="C210" s="76" t="s">
        <v>202</v>
      </c>
      <c r="D210" s="76" t="s">
        <v>1456</v>
      </c>
      <c r="E210" s="75" t="s">
        <v>1457</v>
      </c>
      <c r="F210" s="75" t="e">
        <f t="shared" si="29"/>
        <v>#VALUE!</v>
      </c>
      <c r="G210" s="85">
        <v>0.77500000000000002</v>
      </c>
      <c r="H210" s="78" t="e">
        <f t="shared" si="26"/>
        <v>#VALUE!</v>
      </c>
      <c r="I210" s="78" t="e">
        <f t="shared" si="27"/>
        <v>#VALUE!</v>
      </c>
      <c r="J210" s="75"/>
      <c r="K210" s="79">
        <f>34575.77</f>
        <v>34575.769999999997</v>
      </c>
      <c r="L210" s="79">
        <f t="shared" si="28"/>
        <v>26796.221749999997</v>
      </c>
      <c r="M210" s="76"/>
      <c r="N210" s="75" t="s">
        <v>42</v>
      </c>
      <c r="O210" s="80" t="s">
        <v>1458</v>
      </c>
      <c r="P210" s="81">
        <v>35462</v>
      </c>
      <c r="Q210" s="80" t="s">
        <v>336</v>
      </c>
      <c r="R210" s="81"/>
      <c r="S210" s="81">
        <v>43523</v>
      </c>
      <c r="T210" s="81"/>
      <c r="U210" s="81"/>
      <c r="V210" s="76"/>
      <c r="W210" s="76"/>
      <c r="X210" s="5"/>
      <c r="Y210" s="5"/>
      <c r="Z210" s="76" t="s">
        <v>134</v>
      </c>
      <c r="AA210" s="82" t="s">
        <v>36</v>
      </c>
      <c r="AB210" s="83" t="s">
        <v>37</v>
      </c>
      <c r="AC210" s="84"/>
      <c r="AD210" s="76"/>
      <c r="AE210" s="76"/>
      <c r="AF210" s="76"/>
      <c r="AG210" s="84"/>
      <c r="AH210" s="76"/>
      <c r="AI210" s="76"/>
      <c r="AJ210" s="76"/>
      <c r="AK210" s="84"/>
      <c r="AL210" s="84"/>
      <c r="AM210" s="84"/>
      <c r="AN210" s="84"/>
      <c r="AO210" s="84"/>
    </row>
    <row r="211" spans="1:41" s="1" customFormat="1" ht="45" customHeight="1" x14ac:dyDescent="0.2">
      <c r="A211" s="75">
        <v>42</v>
      </c>
      <c r="B211" s="75"/>
      <c r="C211" s="76" t="s">
        <v>202</v>
      </c>
      <c r="D211" s="76" t="s">
        <v>1459</v>
      </c>
      <c r="E211" s="75" t="s">
        <v>1460</v>
      </c>
      <c r="F211" s="75" t="e">
        <f t="shared" ref="F211" si="31">DATEDIF(P211,Q211,"y") + DATEDIF(T211,U211,"y") + DATEDIF(V211,W211,"y") + SUM(AD211) &amp; " años " &amp; DATEDIF(P211,Q211,"ym") + DATEDIF(T211,U211,"ym") + DATEDIF(V211,W211,"ym") + SUM(AE211) - SUM(AI211) &amp; " meses " &amp; DATEDIF(P211,Q211,"md") + DATEDIF(T211,U211,"md") + DATEDIF(V211,W211,"md") - SUM(AJ211) &amp; " días"</f>
        <v>#VALUE!</v>
      </c>
      <c r="G211" s="85">
        <v>0.77500000000000002</v>
      </c>
      <c r="H211" s="78" t="e">
        <f t="shared" si="26"/>
        <v>#VALUE!</v>
      </c>
      <c r="I211" s="78" t="e">
        <f t="shared" si="27"/>
        <v>#VALUE!</v>
      </c>
      <c r="J211" s="75"/>
      <c r="K211" s="79">
        <f>32541.77</f>
        <v>32541.77</v>
      </c>
      <c r="L211" s="79">
        <f t="shared" si="28"/>
        <v>25219.871750000002</v>
      </c>
      <c r="M211" s="76"/>
      <c r="N211" s="75" t="s">
        <v>42</v>
      </c>
      <c r="O211" s="80" t="s">
        <v>1461</v>
      </c>
      <c r="P211" s="81">
        <v>35674</v>
      </c>
      <c r="Q211" s="80" t="s">
        <v>336</v>
      </c>
      <c r="R211" s="81"/>
      <c r="S211" s="81">
        <v>43888</v>
      </c>
      <c r="T211" s="81"/>
      <c r="U211" s="81"/>
      <c r="V211" s="76"/>
      <c r="W211" s="76"/>
      <c r="X211" s="5"/>
      <c r="Y211" s="5"/>
      <c r="Z211" s="76" t="s">
        <v>134</v>
      </c>
      <c r="AA211" s="82" t="s">
        <v>36</v>
      </c>
      <c r="AB211" s="83" t="s">
        <v>37</v>
      </c>
      <c r="AC211" s="84"/>
      <c r="AD211" s="76"/>
      <c r="AE211" s="76"/>
      <c r="AF211" s="76"/>
      <c r="AG211" s="84"/>
      <c r="AH211" s="76"/>
      <c r="AI211" s="76"/>
      <c r="AJ211" s="76"/>
      <c r="AK211" s="84"/>
      <c r="AL211" s="84"/>
      <c r="AM211" s="84"/>
      <c r="AN211" s="84"/>
      <c r="AO211" s="84"/>
    </row>
    <row r="212" spans="1:41" s="1" customFormat="1" ht="45" customHeight="1" x14ac:dyDescent="0.2">
      <c r="A212" s="75">
        <v>43</v>
      </c>
      <c r="B212" s="75"/>
      <c r="C212" s="76" t="s">
        <v>202</v>
      </c>
      <c r="D212" s="76" t="s">
        <v>1462</v>
      </c>
      <c r="E212" s="75" t="s">
        <v>1463</v>
      </c>
      <c r="F212" s="75" t="e">
        <f t="shared" ref="F212" si="32">DATEDIF(P212,Q212,"y") + DATEDIF(T212,U212,"y") + DATEDIF(V212,W212,"y") + SUM(AD212) &amp; " años " &amp; DATEDIF(P212,Q212,"ym") + DATEDIF(T212,U212,"ym") + DATEDIF(V212,W212,"ym") + SUM(AE212) - SUM(AI212) &amp; " meses " &amp; DATEDIF(P212,Q212,"md") + DATEDIF(T212,U212,"md") + DATEDIF(V212,W212,"md") - SUM(AJ212) &amp; " días"</f>
        <v>#VALUE!</v>
      </c>
      <c r="G212" s="77">
        <v>0.8</v>
      </c>
      <c r="H212" s="78" t="e">
        <f t="shared" si="26"/>
        <v>#VALUE!</v>
      </c>
      <c r="I212" s="78" t="e">
        <f t="shared" si="27"/>
        <v>#VALUE!</v>
      </c>
      <c r="J212" s="75"/>
      <c r="K212" s="79">
        <f>32541.78</f>
        <v>32541.78</v>
      </c>
      <c r="L212" s="79">
        <f t="shared" si="28"/>
        <v>26033.423999999999</v>
      </c>
      <c r="M212" s="76"/>
      <c r="N212" s="75" t="s">
        <v>42</v>
      </c>
      <c r="O212" s="80" t="s">
        <v>1464</v>
      </c>
      <c r="P212" s="81">
        <v>35125</v>
      </c>
      <c r="Q212" s="80" t="s">
        <v>336</v>
      </c>
      <c r="R212" s="81"/>
      <c r="S212" s="81">
        <v>43888</v>
      </c>
      <c r="T212" s="81"/>
      <c r="U212" s="81"/>
      <c r="V212" s="76"/>
      <c r="W212" s="76"/>
      <c r="X212" s="5"/>
      <c r="Y212" s="5"/>
      <c r="Z212" s="76" t="s">
        <v>35</v>
      </c>
      <c r="AA212" s="82" t="s">
        <v>36</v>
      </c>
      <c r="AB212" s="83" t="s">
        <v>37</v>
      </c>
      <c r="AC212" s="84"/>
      <c r="AD212" s="76"/>
      <c r="AE212" s="76"/>
      <c r="AF212" s="76"/>
      <c r="AG212" s="84"/>
      <c r="AH212" s="76"/>
      <c r="AI212" s="76"/>
      <c r="AJ212" s="76"/>
      <c r="AK212" s="84"/>
      <c r="AL212" s="84"/>
      <c r="AM212" s="84"/>
      <c r="AN212" s="84"/>
      <c r="AO212" s="84"/>
    </row>
    <row r="213" spans="1:41" s="1" customFormat="1" ht="45" customHeight="1" x14ac:dyDescent="0.2">
      <c r="A213" s="75">
        <v>44</v>
      </c>
      <c r="B213" s="75"/>
      <c r="C213" s="76" t="s">
        <v>202</v>
      </c>
      <c r="D213" s="76" t="s">
        <v>1465</v>
      </c>
      <c r="E213" s="75" t="s">
        <v>1466</v>
      </c>
      <c r="F213" s="75" t="e">
        <f t="shared" si="29"/>
        <v>#VALUE!</v>
      </c>
      <c r="G213" s="85">
        <v>0.72499999999999998</v>
      </c>
      <c r="H213" s="78" t="e">
        <f t="shared" si="26"/>
        <v>#VALUE!</v>
      </c>
      <c r="I213" s="78" t="e">
        <f t="shared" si="27"/>
        <v>#VALUE!</v>
      </c>
      <c r="J213" s="75"/>
      <c r="K213" s="79">
        <f>32541.78</f>
        <v>32541.78</v>
      </c>
      <c r="L213" s="79">
        <f t="shared" si="28"/>
        <v>23592.790499999999</v>
      </c>
      <c r="M213" s="76"/>
      <c r="N213" s="75" t="s">
        <v>42</v>
      </c>
      <c r="O213" s="80" t="s">
        <v>1467</v>
      </c>
      <c r="P213" s="81">
        <v>36072</v>
      </c>
      <c r="Q213" s="80" t="s">
        <v>336</v>
      </c>
      <c r="R213" s="81"/>
      <c r="S213" s="81">
        <v>43888</v>
      </c>
      <c r="T213" s="81"/>
      <c r="U213" s="81"/>
      <c r="V213" s="76"/>
      <c r="W213" s="76"/>
      <c r="X213" s="5"/>
      <c r="Y213" s="5"/>
      <c r="Z213" s="76" t="s">
        <v>190</v>
      </c>
      <c r="AA213" s="82" t="s">
        <v>36</v>
      </c>
      <c r="AB213" s="83" t="s">
        <v>37</v>
      </c>
      <c r="AC213" s="84"/>
      <c r="AD213" s="76"/>
      <c r="AE213" s="76"/>
      <c r="AF213" s="76"/>
      <c r="AG213" s="84"/>
      <c r="AH213" s="76"/>
      <c r="AI213" s="76"/>
      <c r="AJ213" s="76"/>
      <c r="AK213" s="84"/>
      <c r="AL213" s="84"/>
      <c r="AM213" s="84"/>
      <c r="AN213" s="84"/>
      <c r="AO213" s="84"/>
    </row>
    <row r="214" spans="1:41" s="1" customFormat="1" ht="45" customHeight="1" x14ac:dyDescent="0.2">
      <c r="A214" s="75">
        <v>45</v>
      </c>
      <c r="B214" s="75"/>
      <c r="C214" s="76" t="s">
        <v>211</v>
      </c>
      <c r="D214" s="76" t="s">
        <v>1468</v>
      </c>
      <c r="E214" s="75" t="s">
        <v>1469</v>
      </c>
      <c r="F214" s="75" t="e">
        <f>DATEDIF(P214,Q214,"y") + DATEDIF(T214,U214,"y") + DATEDIF(V214,W214,"y") + SUM(AD214) &amp; " años " &amp; DATEDIF(P214,Q214,"ym") + DATEDIF(T214,U214,"ym") + DATEDIF(V214,W214,"ym") + SUM(AE214) - SUM(AI214) &amp; " meses " &amp; DATEDIF(P214,Q214,"md") + DATEDIF(T214,U214,"md") + DATEDIF(V214,W214,"md") - SUM(AJ214) &amp; " días"</f>
        <v>#VALUE!</v>
      </c>
      <c r="G214" s="77">
        <v>1</v>
      </c>
      <c r="H214" s="78" t="e">
        <f t="shared" si="26"/>
        <v>#VALUE!</v>
      </c>
      <c r="I214" s="78" t="e">
        <f t="shared" si="27"/>
        <v>#VALUE!</v>
      </c>
      <c r="J214" s="75"/>
      <c r="K214" s="79">
        <v>31510.28</v>
      </c>
      <c r="L214" s="79">
        <f t="shared" si="28"/>
        <v>31510.28</v>
      </c>
      <c r="M214" s="76"/>
      <c r="N214" s="75" t="s">
        <v>42</v>
      </c>
      <c r="O214" s="80" t="s">
        <v>1470</v>
      </c>
      <c r="P214" s="81">
        <v>37135</v>
      </c>
      <c r="Q214" s="80" t="s">
        <v>336</v>
      </c>
      <c r="R214" s="81"/>
      <c r="S214" s="81">
        <v>43888</v>
      </c>
      <c r="T214" s="81">
        <v>31426</v>
      </c>
      <c r="U214" s="81">
        <v>36104</v>
      </c>
      <c r="V214" s="76"/>
      <c r="W214" s="76"/>
      <c r="X214" s="5" t="s">
        <v>1286</v>
      </c>
      <c r="Y214" s="5" t="s">
        <v>190</v>
      </c>
      <c r="Z214" s="76" t="s">
        <v>190</v>
      </c>
      <c r="AA214" s="82" t="s">
        <v>36</v>
      </c>
      <c r="AB214" s="83" t="s">
        <v>37</v>
      </c>
      <c r="AC214" s="84"/>
      <c r="AD214" s="76">
        <v>1</v>
      </c>
      <c r="AE214" s="76"/>
      <c r="AF214" s="76"/>
      <c r="AG214" s="84"/>
      <c r="AH214" s="76"/>
      <c r="AI214" s="76">
        <v>12</v>
      </c>
      <c r="AJ214" s="76"/>
      <c r="AK214" s="84"/>
      <c r="AL214" s="84"/>
      <c r="AM214" s="84"/>
      <c r="AN214" s="84"/>
      <c r="AO214" s="84"/>
    </row>
    <row r="215" spans="1:41" s="1" customFormat="1" ht="45" customHeight="1" x14ac:dyDescent="0.2">
      <c r="A215" s="75">
        <v>46</v>
      </c>
      <c r="B215" s="75"/>
      <c r="C215" s="76" t="s">
        <v>211</v>
      </c>
      <c r="D215" s="76" t="s">
        <v>1471</v>
      </c>
      <c r="E215" s="75" t="s">
        <v>1472</v>
      </c>
      <c r="F215" s="75" t="e">
        <f>DATEDIF(P215,Q215,"y") + DATEDIF(T215,U215,"y") + DATEDIF(V215,W215,"y") + SUM(AD215) &amp; " años " &amp; DATEDIF(P215,Q215,"ym") + DATEDIF(T215,U215,"ym") + DATEDIF(V215,W215,"ym") + SUM(AE215) - SUM(AI215) &amp; " meses " &amp; DATEDIF(P215,Q215,"md") + DATEDIF(T215,U215,"md") + DATEDIF(V215,W215,"md") - SUM(AJ215) &amp; " días"</f>
        <v>#VALUE!</v>
      </c>
      <c r="G215" s="85">
        <v>0.77500000000000002</v>
      </c>
      <c r="H215" s="78" t="e">
        <f t="shared" si="26"/>
        <v>#VALUE!</v>
      </c>
      <c r="I215" s="78" t="e">
        <f t="shared" si="27"/>
        <v>#VALUE!</v>
      </c>
      <c r="J215" s="75"/>
      <c r="K215" s="79">
        <f t="shared" ref="K215:K221" si="33">32541.77</f>
        <v>32541.77</v>
      </c>
      <c r="L215" s="79">
        <f t="shared" si="28"/>
        <v>25219.871750000002</v>
      </c>
      <c r="M215" s="76"/>
      <c r="N215" s="75" t="s">
        <v>42</v>
      </c>
      <c r="O215" s="80" t="s">
        <v>1473</v>
      </c>
      <c r="P215" s="81">
        <v>35471</v>
      </c>
      <c r="Q215" s="80" t="s">
        <v>336</v>
      </c>
      <c r="R215" s="81"/>
      <c r="S215" s="81">
        <v>42793</v>
      </c>
      <c r="T215" s="81"/>
      <c r="U215" s="81"/>
      <c r="V215" s="76"/>
      <c r="W215" s="76"/>
      <c r="X215" s="5"/>
      <c r="Y215" s="5"/>
      <c r="Z215" s="76" t="s">
        <v>190</v>
      </c>
      <c r="AA215" s="82" t="s">
        <v>36</v>
      </c>
      <c r="AB215" s="83" t="s">
        <v>37</v>
      </c>
      <c r="AC215" s="84"/>
      <c r="AD215" s="76"/>
      <c r="AE215" s="76"/>
      <c r="AF215" s="76"/>
      <c r="AG215" s="84"/>
      <c r="AH215" s="76"/>
      <c r="AI215" s="76"/>
      <c r="AJ215" s="76"/>
      <c r="AK215" s="84"/>
      <c r="AL215" s="84"/>
      <c r="AM215" s="84"/>
      <c r="AN215" s="84"/>
      <c r="AO215" s="84"/>
    </row>
    <row r="216" spans="1:41" s="1" customFormat="1" ht="45" customHeight="1" x14ac:dyDescent="0.2">
      <c r="A216" s="75">
        <v>47</v>
      </c>
      <c r="B216" s="75"/>
      <c r="C216" s="76" t="s">
        <v>211</v>
      </c>
      <c r="D216" s="76" t="s">
        <v>1474</v>
      </c>
      <c r="E216" s="75" t="s">
        <v>1475</v>
      </c>
      <c r="F216" s="75" t="e">
        <f>DATEDIF(P216,Q216,"y") + DATEDIF(T216,U216,"y") + DATEDIF(V216,W216,"y") + SUM(AD216) &amp; " años " &amp; DATEDIF(P216,Q216,"ym") + DATEDIF(T216,U216,"ym") + DATEDIF(V216,W216,"ym") + SUM(AE216) - SUM(AI216) &amp; " meses " &amp; DATEDIF(P216,Q216,"md") + DATEDIF(T216,U216,"md") + DATEDIF(V216,W216,"md") - SUM(AJ216) &amp; " días"</f>
        <v>#VALUE!</v>
      </c>
      <c r="G216" s="85">
        <v>0.77500000000000002</v>
      </c>
      <c r="H216" s="78" t="e">
        <f t="shared" si="26"/>
        <v>#VALUE!</v>
      </c>
      <c r="I216" s="78" t="e">
        <f t="shared" si="27"/>
        <v>#VALUE!</v>
      </c>
      <c r="J216" s="75"/>
      <c r="K216" s="79">
        <f t="shared" si="33"/>
        <v>32541.77</v>
      </c>
      <c r="L216" s="79">
        <f t="shared" si="28"/>
        <v>25219.871750000002</v>
      </c>
      <c r="M216" s="76"/>
      <c r="N216" s="75" t="s">
        <v>42</v>
      </c>
      <c r="O216" s="80" t="s">
        <v>1476</v>
      </c>
      <c r="P216" s="81">
        <v>37073</v>
      </c>
      <c r="Q216" s="80" t="s">
        <v>336</v>
      </c>
      <c r="R216" s="81"/>
      <c r="S216" s="81">
        <v>42793</v>
      </c>
      <c r="T216" s="81">
        <v>34372</v>
      </c>
      <c r="U216" s="81">
        <v>35833</v>
      </c>
      <c r="V216" s="76"/>
      <c r="W216" s="76"/>
      <c r="X216" s="5"/>
      <c r="Y216" s="5"/>
      <c r="Z216" s="76" t="s">
        <v>190</v>
      </c>
      <c r="AA216" s="82" t="s">
        <v>36</v>
      </c>
      <c r="AB216" s="83" t="s">
        <v>37</v>
      </c>
      <c r="AC216" s="84"/>
      <c r="AD216" s="76"/>
      <c r="AE216" s="76"/>
      <c r="AF216" s="76"/>
      <c r="AG216" s="84"/>
      <c r="AH216" s="76"/>
      <c r="AI216" s="76"/>
      <c r="AJ216" s="76"/>
      <c r="AK216" s="84"/>
      <c r="AL216" s="84"/>
      <c r="AM216" s="84"/>
      <c r="AN216" s="84"/>
      <c r="AO216" s="84"/>
    </row>
    <row r="217" spans="1:41" s="1" customFormat="1" ht="45" customHeight="1" x14ac:dyDescent="0.2">
      <c r="A217" s="75">
        <v>48</v>
      </c>
      <c r="B217" s="75"/>
      <c r="C217" s="76" t="s">
        <v>211</v>
      </c>
      <c r="D217" s="76" t="s">
        <v>1477</v>
      </c>
      <c r="E217" s="75" t="s">
        <v>1478</v>
      </c>
      <c r="F217" s="75" t="e">
        <f>DATEDIF(P217,Q217,"y") + DATEDIF(T217,U217,"y") + DATEDIF(V217,W217,"y") + SUM(AD217) &amp; " años " &amp; DATEDIF(P217,Q217,"ym") + DATEDIF(T217,U217,"ym") + DATEDIF(V217,W217,"ym") + SUM(AE217) - SUM(AI217) &amp; " meses " &amp; DATEDIF(P217,Q217,"md") + DATEDIF(T217,U217,"md") + DATEDIF(V217,W217,"md") - SUM(AJ217) &amp; " días"</f>
        <v>#VALUE!</v>
      </c>
      <c r="G217" s="85">
        <v>0.77500000000000002</v>
      </c>
      <c r="H217" s="78" t="e">
        <f t="shared" si="26"/>
        <v>#VALUE!</v>
      </c>
      <c r="I217" s="78" t="e">
        <f t="shared" si="27"/>
        <v>#VALUE!</v>
      </c>
      <c r="J217" s="75"/>
      <c r="K217" s="79">
        <f t="shared" si="33"/>
        <v>32541.77</v>
      </c>
      <c r="L217" s="79">
        <f t="shared" si="28"/>
        <v>25219.871750000002</v>
      </c>
      <c r="M217" s="76"/>
      <c r="N217" s="75" t="s">
        <v>42</v>
      </c>
      <c r="O217" s="80" t="s">
        <v>1479</v>
      </c>
      <c r="P217" s="81">
        <v>35612</v>
      </c>
      <c r="Q217" s="80" t="s">
        <v>336</v>
      </c>
      <c r="R217" s="81"/>
      <c r="S217" s="81">
        <v>43158</v>
      </c>
      <c r="T217" s="81"/>
      <c r="U217" s="81"/>
      <c r="V217" s="76"/>
      <c r="W217" s="76"/>
      <c r="X217" s="5" t="s">
        <v>1286</v>
      </c>
      <c r="Y217" s="5"/>
      <c r="Z217" s="76" t="s">
        <v>190</v>
      </c>
      <c r="AA217" s="82" t="s">
        <v>36</v>
      </c>
      <c r="AB217" s="83" t="s">
        <v>37</v>
      </c>
      <c r="AC217" s="84"/>
      <c r="AD217" s="76"/>
      <c r="AE217" s="76"/>
      <c r="AF217" s="76"/>
      <c r="AG217" s="84"/>
      <c r="AH217" s="76"/>
      <c r="AI217" s="76"/>
      <c r="AJ217" s="76"/>
      <c r="AK217" s="84"/>
      <c r="AL217" s="84"/>
      <c r="AM217" s="84"/>
      <c r="AN217" s="84"/>
      <c r="AO217" s="84"/>
    </row>
    <row r="218" spans="1:41" s="1" customFormat="1" ht="45" customHeight="1" x14ac:dyDescent="0.2">
      <c r="A218" s="75">
        <v>49</v>
      </c>
      <c r="B218" s="75"/>
      <c r="C218" s="76" t="s">
        <v>211</v>
      </c>
      <c r="D218" s="76" t="s">
        <v>1480</v>
      </c>
      <c r="E218" s="75" t="s">
        <v>1481</v>
      </c>
      <c r="F218" s="75" t="e">
        <f>DATEDIF(P218,Q218,"y") + DATEDIF(T218,U218,"y") + DATEDIF(V218,W218,"y") + SUM(AD218) &amp; " años " &amp; DATEDIF(P218,Q218,"ym") + DATEDIF(T218,U218,"ym") + DATEDIF(V218,W218,"ym") + SUM(AE218) - SUM(AI218) &amp; " meses " &amp; DATEDIF(P218,Q218,"md") + DATEDIF(T218,U218,"md") + DATEDIF(V218,W218,"md") - SUM(AJ218) &amp; " días"</f>
        <v>#VALUE!</v>
      </c>
      <c r="G218" s="77">
        <v>0.75</v>
      </c>
      <c r="H218" s="78" t="e">
        <f t="shared" si="26"/>
        <v>#VALUE!</v>
      </c>
      <c r="I218" s="78" t="e">
        <f t="shared" si="27"/>
        <v>#VALUE!</v>
      </c>
      <c r="J218" s="75"/>
      <c r="K218" s="79">
        <f t="shared" si="33"/>
        <v>32541.77</v>
      </c>
      <c r="L218" s="79">
        <f t="shared" si="28"/>
        <v>24406.327499999999</v>
      </c>
      <c r="M218" s="76"/>
      <c r="N218" s="75" t="s">
        <v>42</v>
      </c>
      <c r="O218" s="80" t="s">
        <v>1482</v>
      </c>
      <c r="P218" s="81">
        <v>35827</v>
      </c>
      <c r="Q218" s="80" t="s">
        <v>336</v>
      </c>
      <c r="R218" s="81"/>
      <c r="S218" s="81">
        <v>43158</v>
      </c>
      <c r="T218" s="81"/>
      <c r="U218" s="81"/>
      <c r="V218" s="76"/>
      <c r="W218" s="76"/>
      <c r="X218" s="5"/>
      <c r="Y218" s="5"/>
      <c r="Z218" s="76" t="s">
        <v>190</v>
      </c>
      <c r="AA218" s="82" t="s">
        <v>36</v>
      </c>
      <c r="AB218" s="83" t="s">
        <v>37</v>
      </c>
      <c r="AC218" s="84"/>
      <c r="AD218" s="76"/>
      <c r="AE218" s="76"/>
      <c r="AF218" s="76"/>
      <c r="AG218" s="84"/>
      <c r="AH218" s="76"/>
      <c r="AI218" s="76"/>
      <c r="AJ218" s="76"/>
      <c r="AK218" s="84"/>
      <c r="AL218" s="84"/>
      <c r="AM218" s="84"/>
      <c r="AN218" s="84"/>
      <c r="AO218" s="84"/>
    </row>
    <row r="219" spans="1:41" s="1" customFormat="1" ht="45" customHeight="1" x14ac:dyDescent="0.2">
      <c r="A219" s="75">
        <v>50</v>
      </c>
      <c r="B219" s="75"/>
      <c r="C219" s="76" t="s">
        <v>211</v>
      </c>
      <c r="D219" s="76" t="s">
        <v>1483</v>
      </c>
      <c r="E219" s="75" t="s">
        <v>1484</v>
      </c>
      <c r="F219" s="75" t="e">
        <f t="shared" ref="F219:F225" si="34">DATEDIF(P219,Q219,"y") + DATEDIF(T219,U219,"y") + DATEDIF(V219,W219,"y") + SUM(Z219) &amp; " años " &amp; DATEDIF(P219,Q219,"ym") + DATEDIF(T219,U219,"ym") + DATEDIF(V219,W219,"ym") + SUM(AA219) - SUM(AE219) &amp; " meses " &amp; DATEDIF(P219,Q219,"md") + DATEDIF(T219,U219,"md") + DATEDIF(V219,W219,"md") - SUM(AF219) &amp; " días"</f>
        <v>#VALUE!</v>
      </c>
      <c r="G219" s="77">
        <v>0.77500000000000002</v>
      </c>
      <c r="H219" s="78" t="e">
        <f t="shared" si="26"/>
        <v>#VALUE!</v>
      </c>
      <c r="I219" s="78" t="e">
        <f t="shared" si="27"/>
        <v>#VALUE!</v>
      </c>
      <c r="J219" s="75"/>
      <c r="K219" s="79">
        <f t="shared" si="33"/>
        <v>32541.77</v>
      </c>
      <c r="L219" s="79">
        <f t="shared" si="28"/>
        <v>25219.871750000002</v>
      </c>
      <c r="M219" s="76"/>
      <c r="N219" s="75" t="s">
        <v>42</v>
      </c>
      <c r="O219" s="80" t="s">
        <v>1485</v>
      </c>
      <c r="P219" s="81">
        <v>37073</v>
      </c>
      <c r="Q219" s="80" t="s">
        <v>336</v>
      </c>
      <c r="R219" s="81"/>
      <c r="S219" s="81">
        <v>42427</v>
      </c>
      <c r="T219" s="81">
        <v>32881</v>
      </c>
      <c r="U219" s="81">
        <v>34342</v>
      </c>
      <c r="V219" s="76"/>
      <c r="W219" s="76"/>
      <c r="X219" s="5" t="s">
        <v>1286</v>
      </c>
      <c r="Y219" s="5"/>
      <c r="Z219" s="76" t="s">
        <v>190</v>
      </c>
      <c r="AA219" s="82" t="s">
        <v>36</v>
      </c>
      <c r="AB219" s="83" t="s">
        <v>37</v>
      </c>
      <c r="AC219" s="84"/>
      <c r="AD219" s="76"/>
      <c r="AE219" s="76"/>
      <c r="AF219" s="76"/>
      <c r="AG219" s="84"/>
      <c r="AH219" s="76"/>
      <c r="AI219" s="76"/>
      <c r="AJ219" s="76"/>
      <c r="AK219" s="84"/>
      <c r="AL219" s="84"/>
      <c r="AM219" s="84"/>
      <c r="AN219" s="84"/>
      <c r="AO219" s="84"/>
    </row>
    <row r="220" spans="1:41" s="1" customFormat="1" ht="45" customHeight="1" x14ac:dyDescent="0.2">
      <c r="A220" s="75">
        <v>51</v>
      </c>
      <c r="B220" s="75"/>
      <c r="C220" s="76" t="s">
        <v>211</v>
      </c>
      <c r="D220" s="76" t="s">
        <v>1486</v>
      </c>
      <c r="E220" s="75" t="s">
        <v>1487</v>
      </c>
      <c r="F220" s="75" t="e">
        <f t="shared" si="34"/>
        <v>#VALUE!</v>
      </c>
      <c r="G220" s="85">
        <v>0.77500000000000002</v>
      </c>
      <c r="H220" s="78" t="e">
        <f t="shared" si="26"/>
        <v>#VALUE!</v>
      </c>
      <c r="I220" s="78" t="e">
        <f t="shared" si="27"/>
        <v>#VALUE!</v>
      </c>
      <c r="J220" s="75"/>
      <c r="K220" s="79">
        <f t="shared" si="33"/>
        <v>32541.77</v>
      </c>
      <c r="L220" s="79">
        <f t="shared" si="28"/>
        <v>25219.871750000002</v>
      </c>
      <c r="M220" s="76"/>
      <c r="N220" s="75" t="s">
        <v>42</v>
      </c>
      <c r="O220" s="80" t="s">
        <v>1488</v>
      </c>
      <c r="P220" s="81">
        <v>35462</v>
      </c>
      <c r="Q220" s="80" t="s">
        <v>336</v>
      </c>
      <c r="R220" s="81"/>
      <c r="S220" s="81">
        <v>42793</v>
      </c>
      <c r="T220" s="81"/>
      <c r="U220" s="81"/>
      <c r="V220" s="76"/>
      <c r="W220" s="76"/>
      <c r="X220" s="5"/>
      <c r="Y220" s="5"/>
      <c r="Z220" s="76" t="s">
        <v>190</v>
      </c>
      <c r="AA220" s="82" t="s">
        <v>36</v>
      </c>
      <c r="AB220" s="83" t="s">
        <v>37</v>
      </c>
      <c r="AC220" s="84"/>
      <c r="AD220" s="76"/>
      <c r="AE220" s="76"/>
      <c r="AF220" s="76"/>
      <c r="AG220" s="84"/>
      <c r="AH220" s="76"/>
      <c r="AI220" s="76"/>
      <c r="AJ220" s="76"/>
      <c r="AK220" s="84"/>
      <c r="AL220" s="84"/>
      <c r="AM220" s="84"/>
      <c r="AN220" s="84"/>
      <c r="AO220" s="84"/>
    </row>
    <row r="221" spans="1:41" s="1" customFormat="1" ht="45" customHeight="1" x14ac:dyDescent="0.2">
      <c r="A221" s="75">
        <v>52</v>
      </c>
      <c r="B221" s="75"/>
      <c r="C221" s="76" t="s">
        <v>211</v>
      </c>
      <c r="D221" s="76" t="s">
        <v>1489</v>
      </c>
      <c r="E221" s="75" t="s">
        <v>1490</v>
      </c>
      <c r="F221" s="75" t="e">
        <f t="shared" si="34"/>
        <v>#VALUE!</v>
      </c>
      <c r="G221" s="77">
        <v>0.7</v>
      </c>
      <c r="H221" s="78" t="e">
        <f t="shared" si="26"/>
        <v>#VALUE!</v>
      </c>
      <c r="I221" s="78" t="e">
        <f t="shared" si="27"/>
        <v>#VALUE!</v>
      </c>
      <c r="J221" s="75"/>
      <c r="K221" s="79">
        <f t="shared" si="33"/>
        <v>32541.77</v>
      </c>
      <c r="L221" s="79">
        <f t="shared" si="28"/>
        <v>22779.238999999998</v>
      </c>
      <c r="M221" s="76"/>
      <c r="N221" s="75" t="s">
        <v>42</v>
      </c>
      <c r="O221" s="80" t="s">
        <v>1491</v>
      </c>
      <c r="P221" s="81">
        <v>36434</v>
      </c>
      <c r="Q221" s="80" t="s">
        <v>336</v>
      </c>
      <c r="R221" s="81"/>
      <c r="S221" s="81">
        <v>43158</v>
      </c>
      <c r="T221" s="81"/>
      <c r="U221" s="81"/>
      <c r="V221" s="76"/>
      <c r="W221" s="76"/>
      <c r="X221" s="5"/>
      <c r="Y221" s="5"/>
      <c r="Z221" s="76" t="s">
        <v>190</v>
      </c>
      <c r="AA221" s="82" t="s">
        <v>36</v>
      </c>
      <c r="AB221" s="83" t="s">
        <v>37</v>
      </c>
      <c r="AC221" s="84"/>
      <c r="AD221" s="76"/>
      <c r="AE221" s="76"/>
      <c r="AF221" s="76"/>
      <c r="AG221" s="84"/>
      <c r="AH221" s="76"/>
      <c r="AI221" s="76"/>
      <c r="AJ221" s="76"/>
      <c r="AK221" s="84"/>
      <c r="AL221" s="84"/>
      <c r="AM221" s="84"/>
      <c r="AN221" s="84"/>
      <c r="AO221" s="84"/>
    </row>
    <row r="222" spans="1:41" s="1" customFormat="1" ht="45" customHeight="1" x14ac:dyDescent="0.2">
      <c r="A222" s="75">
        <v>53</v>
      </c>
      <c r="B222" s="75"/>
      <c r="C222" s="76" t="s">
        <v>211</v>
      </c>
      <c r="D222" s="76" t="s">
        <v>1492</v>
      </c>
      <c r="E222" s="75" t="s">
        <v>1493</v>
      </c>
      <c r="F222" s="75" t="e">
        <f t="shared" si="34"/>
        <v>#VALUE!</v>
      </c>
      <c r="G222" s="85">
        <v>0.67500000000000004</v>
      </c>
      <c r="H222" s="78" t="e">
        <f t="shared" si="26"/>
        <v>#VALUE!</v>
      </c>
      <c r="I222" s="78" t="e">
        <f t="shared" si="27"/>
        <v>#VALUE!</v>
      </c>
      <c r="J222" s="75"/>
      <c r="K222" s="79">
        <f>32541.78</f>
        <v>32541.78</v>
      </c>
      <c r="L222" s="79">
        <f t="shared" si="28"/>
        <v>21965.701499999999</v>
      </c>
      <c r="M222" s="76"/>
      <c r="N222" s="75" t="s">
        <v>42</v>
      </c>
      <c r="O222" s="80" t="s">
        <v>1494</v>
      </c>
      <c r="P222" s="81">
        <v>37073</v>
      </c>
      <c r="Q222" s="80" t="s">
        <v>336</v>
      </c>
      <c r="R222" s="81"/>
      <c r="S222" s="81">
        <v>43523</v>
      </c>
      <c r="T222" s="81"/>
      <c r="U222" s="81"/>
      <c r="V222" s="76"/>
      <c r="W222" s="76"/>
      <c r="X222" s="5"/>
      <c r="Y222" s="5"/>
      <c r="Z222" s="76" t="s">
        <v>190</v>
      </c>
      <c r="AA222" s="82" t="s">
        <v>36</v>
      </c>
      <c r="AB222" s="83" t="s">
        <v>37</v>
      </c>
      <c r="AC222" s="84"/>
      <c r="AD222" s="76"/>
      <c r="AE222" s="76"/>
      <c r="AF222" s="76"/>
      <c r="AG222" s="84"/>
      <c r="AH222" s="76"/>
      <c r="AI222" s="76"/>
      <c r="AJ222" s="76"/>
      <c r="AK222" s="84"/>
      <c r="AL222" s="84"/>
      <c r="AM222" s="84"/>
      <c r="AN222" s="84"/>
      <c r="AO222" s="84"/>
    </row>
    <row r="223" spans="1:41" s="1" customFormat="1" ht="45" customHeight="1" x14ac:dyDescent="0.2">
      <c r="A223" s="75">
        <v>54</v>
      </c>
      <c r="B223" s="75"/>
      <c r="C223" s="76" t="s">
        <v>211</v>
      </c>
      <c r="D223" s="76" t="s">
        <v>1495</v>
      </c>
      <c r="E223" s="75" t="s">
        <v>1496</v>
      </c>
      <c r="F223" s="75" t="e">
        <f t="shared" si="34"/>
        <v>#VALUE!</v>
      </c>
      <c r="G223" s="77">
        <v>0.65</v>
      </c>
      <c r="H223" s="78" t="e">
        <f t="shared" si="26"/>
        <v>#VALUE!</v>
      </c>
      <c r="I223" s="78" t="e">
        <f t="shared" si="27"/>
        <v>#VALUE!</v>
      </c>
      <c r="J223" s="75"/>
      <c r="K223" s="79">
        <v>31510.28</v>
      </c>
      <c r="L223" s="79">
        <f t="shared" si="28"/>
        <v>20481.682000000001</v>
      </c>
      <c r="M223" s="76"/>
      <c r="N223" s="75" t="s">
        <v>42</v>
      </c>
      <c r="O223" s="80" t="s">
        <v>1497</v>
      </c>
      <c r="P223" s="81">
        <v>37408</v>
      </c>
      <c r="Q223" s="80" t="s">
        <v>336</v>
      </c>
      <c r="R223" s="81"/>
      <c r="S223" s="81">
        <v>44619</v>
      </c>
      <c r="T223" s="81"/>
      <c r="U223" s="81"/>
      <c r="V223" s="76"/>
      <c r="W223" s="76"/>
      <c r="X223" s="5" t="s">
        <v>1286</v>
      </c>
      <c r="Y223" s="5" t="s">
        <v>190</v>
      </c>
      <c r="Z223" s="76" t="s">
        <v>190</v>
      </c>
      <c r="AA223" s="82" t="s">
        <v>36</v>
      </c>
      <c r="AB223" s="83" t="s">
        <v>37</v>
      </c>
      <c r="AC223" s="84"/>
      <c r="AD223" s="76"/>
      <c r="AE223" s="76"/>
      <c r="AF223" s="76"/>
      <c r="AG223" s="84"/>
      <c r="AH223" s="76"/>
      <c r="AI223" s="76"/>
      <c r="AJ223" s="76"/>
      <c r="AK223" s="84"/>
      <c r="AL223" s="84"/>
      <c r="AM223" s="84"/>
      <c r="AN223" s="84"/>
      <c r="AO223" s="84"/>
    </row>
    <row r="224" spans="1:41" s="1" customFormat="1" ht="45" customHeight="1" x14ac:dyDescent="0.2">
      <c r="A224" s="75">
        <v>55</v>
      </c>
      <c r="B224" s="75"/>
      <c r="C224" s="76" t="s">
        <v>211</v>
      </c>
      <c r="D224" s="76" t="s">
        <v>1498</v>
      </c>
      <c r="E224" s="75" t="s">
        <v>1499</v>
      </c>
      <c r="F224" s="75" t="e">
        <f t="shared" si="34"/>
        <v>#VALUE!</v>
      </c>
      <c r="G224" s="85">
        <v>0.77500000000000002</v>
      </c>
      <c r="H224" s="78" t="e">
        <f t="shared" si="26"/>
        <v>#VALUE!</v>
      </c>
      <c r="I224" s="78" t="e">
        <f t="shared" si="27"/>
        <v>#VALUE!</v>
      </c>
      <c r="J224" s="75"/>
      <c r="K224" s="79">
        <f>32541.77</f>
        <v>32541.77</v>
      </c>
      <c r="L224" s="79">
        <f t="shared" si="28"/>
        <v>25219.871750000002</v>
      </c>
      <c r="M224" s="76"/>
      <c r="N224" s="75" t="s">
        <v>42</v>
      </c>
      <c r="O224" s="80" t="s">
        <v>1500</v>
      </c>
      <c r="P224" s="81">
        <v>35551</v>
      </c>
      <c r="Q224" s="80" t="s">
        <v>336</v>
      </c>
      <c r="R224" s="81"/>
      <c r="S224" s="81">
        <v>42793</v>
      </c>
      <c r="T224" s="81"/>
      <c r="U224" s="81"/>
      <c r="V224" s="76"/>
      <c r="W224" s="76"/>
      <c r="X224" s="5"/>
      <c r="Y224" s="5"/>
      <c r="Z224" s="76" t="s">
        <v>190</v>
      </c>
      <c r="AA224" s="82" t="s">
        <v>36</v>
      </c>
      <c r="AB224" s="83" t="s">
        <v>37</v>
      </c>
      <c r="AC224" s="84"/>
      <c r="AD224" s="76"/>
      <c r="AE224" s="76"/>
      <c r="AF224" s="76"/>
      <c r="AG224" s="84"/>
      <c r="AH224" s="76"/>
      <c r="AI224" s="76"/>
      <c r="AJ224" s="76"/>
      <c r="AK224" s="84"/>
      <c r="AL224" s="84"/>
      <c r="AM224" s="84"/>
      <c r="AN224" s="84"/>
      <c r="AO224" s="84"/>
    </row>
    <row r="225" spans="1:41" s="1" customFormat="1" ht="45" customHeight="1" x14ac:dyDescent="0.2">
      <c r="A225" s="75">
        <v>56</v>
      </c>
      <c r="B225" s="75"/>
      <c r="C225" s="76" t="s">
        <v>211</v>
      </c>
      <c r="D225" s="76" t="s">
        <v>1501</v>
      </c>
      <c r="E225" s="75" t="s">
        <v>1502</v>
      </c>
      <c r="F225" s="75" t="e">
        <f t="shared" si="34"/>
        <v>#VALUE!</v>
      </c>
      <c r="G225" s="77">
        <v>0.65</v>
      </c>
      <c r="H225" s="78" t="e">
        <f t="shared" si="26"/>
        <v>#VALUE!</v>
      </c>
      <c r="I225" s="78" t="e">
        <f t="shared" si="27"/>
        <v>#VALUE!</v>
      </c>
      <c r="J225" s="75"/>
      <c r="K225" s="79">
        <f>32541.77</f>
        <v>32541.77</v>
      </c>
      <c r="L225" s="79">
        <f t="shared" si="28"/>
        <v>21152.1505</v>
      </c>
      <c r="M225" s="76"/>
      <c r="N225" s="75" t="s">
        <v>42</v>
      </c>
      <c r="O225" s="80" t="s">
        <v>1503</v>
      </c>
      <c r="P225" s="81">
        <v>37408</v>
      </c>
      <c r="Q225" s="80" t="s">
        <v>336</v>
      </c>
      <c r="R225" s="81"/>
      <c r="S225" s="81">
        <v>43158</v>
      </c>
      <c r="T225" s="81"/>
      <c r="U225" s="81"/>
      <c r="V225" s="76"/>
      <c r="W225" s="76"/>
      <c r="X225" s="5"/>
      <c r="Y225" s="5"/>
      <c r="Z225" s="76" t="s">
        <v>134</v>
      </c>
      <c r="AA225" s="82" t="s">
        <v>36</v>
      </c>
      <c r="AB225" s="83" t="s">
        <v>37</v>
      </c>
      <c r="AC225" s="84"/>
      <c r="AD225" s="76"/>
      <c r="AE225" s="76"/>
      <c r="AF225" s="76"/>
      <c r="AG225" s="84"/>
      <c r="AH225" s="76"/>
      <c r="AI225" s="76"/>
      <c r="AJ225" s="76"/>
      <c r="AK225" s="84"/>
      <c r="AL225" s="84"/>
      <c r="AM225" s="84"/>
      <c r="AN225" s="84"/>
      <c r="AO225" s="84"/>
    </row>
    <row r="226" spans="1:41" s="1" customFormat="1" ht="45" customHeight="1" x14ac:dyDescent="0.2">
      <c r="A226" s="75">
        <v>57</v>
      </c>
      <c r="B226" s="75"/>
      <c r="C226" s="76" t="s">
        <v>211</v>
      </c>
      <c r="D226" s="76" t="s">
        <v>1504</v>
      </c>
      <c r="E226" s="75" t="s">
        <v>1505</v>
      </c>
      <c r="F226" s="75" t="e">
        <f>DATEDIF(P226,Q226,"y") + DATEDIF(T226,U226,"y") + DATEDIF(V226,W226,"y") + SUM(AD226) &amp; " años " &amp; DATEDIF(P226,Q226,"ym") + DATEDIF(T226,U226,"ym") + DATEDIF(V226,W226,"ym") + SUM(AE226) - SUM(AI226) &amp; " meses " &amp; DATEDIF(P226,Q226,"md") + DATEDIF(T226,U226,"md") + DATEDIF(V226,W226,"md") - SUM(AJ226) &amp; " días"</f>
        <v>#VALUE!</v>
      </c>
      <c r="G226" s="85">
        <v>0.77500000000000002</v>
      </c>
      <c r="H226" s="78" t="e">
        <f t="shared" si="26"/>
        <v>#VALUE!</v>
      </c>
      <c r="I226" s="78" t="e">
        <f t="shared" si="27"/>
        <v>#VALUE!</v>
      </c>
      <c r="J226" s="75"/>
      <c r="K226" s="79">
        <f>32541.77</f>
        <v>32541.77</v>
      </c>
      <c r="L226" s="79">
        <f t="shared" si="28"/>
        <v>25219.871750000002</v>
      </c>
      <c r="M226" s="76"/>
      <c r="N226" s="75" t="s">
        <v>42</v>
      </c>
      <c r="O226" s="80" t="s">
        <v>1506</v>
      </c>
      <c r="P226" s="81">
        <v>35462</v>
      </c>
      <c r="Q226" s="80" t="s">
        <v>336</v>
      </c>
      <c r="R226" s="81"/>
      <c r="S226" s="81">
        <v>43158</v>
      </c>
      <c r="T226" s="81"/>
      <c r="U226" s="81"/>
      <c r="V226" s="76"/>
      <c r="W226" s="76"/>
      <c r="X226" s="5"/>
      <c r="Y226" s="5"/>
      <c r="Z226" s="76" t="s">
        <v>190</v>
      </c>
      <c r="AA226" s="82" t="s">
        <v>36</v>
      </c>
      <c r="AB226" s="83" t="s">
        <v>37</v>
      </c>
      <c r="AC226" s="84"/>
      <c r="AD226" s="76"/>
      <c r="AE226" s="76"/>
      <c r="AF226" s="76"/>
      <c r="AG226" s="84"/>
      <c r="AH226" s="76"/>
      <c r="AI226" s="76"/>
      <c r="AJ226" s="76"/>
      <c r="AK226" s="84"/>
      <c r="AL226" s="84"/>
      <c r="AM226" s="84"/>
      <c r="AN226" s="84"/>
      <c r="AO226" s="84"/>
    </row>
    <row r="227" spans="1:41" s="1" customFormat="1" ht="45" customHeight="1" x14ac:dyDescent="0.2">
      <c r="A227" s="75">
        <v>58</v>
      </c>
      <c r="B227" s="75"/>
      <c r="C227" s="76" t="s">
        <v>1270</v>
      </c>
      <c r="D227" s="76" t="s">
        <v>1507</v>
      </c>
      <c r="E227" s="75" t="s">
        <v>1508</v>
      </c>
      <c r="F227" s="75" t="e">
        <f>DATEDIF(P227,Q227,"y") + DATEDIF(T227,U227,"y") + DATEDIF(V227,W227,"y") + SUM(AD227) &amp; " años " &amp; DATEDIF(P227,Q227,"ym") + DATEDIF(T227,U227,"ym") + DATEDIF(V227,W227,"ym") + SUM(AE227) - SUM(AI227) &amp; " meses " &amp; DATEDIF(P227,Q227,"md") + DATEDIF(T227,U227,"md") + DATEDIF(V227,W227,"md") - SUM(AJ227) &amp; " días"</f>
        <v>#VALUE!</v>
      </c>
      <c r="G227" s="85">
        <v>0.72499999999999998</v>
      </c>
      <c r="H227" s="78" t="e">
        <f t="shared" si="26"/>
        <v>#VALUE!</v>
      </c>
      <c r="I227" s="78" t="e">
        <f>DATEDIF(S227,Q227,"y") &amp; " años " &amp; DATEDIF(S227,Q227,"ym") &amp; " meses " &amp; DATEDIF(S227,Q227,"md") &amp; " días"</f>
        <v>#VALUE!</v>
      </c>
      <c r="J227" s="75"/>
      <c r="K227" s="79">
        <f>31510.28</f>
        <v>31510.28</v>
      </c>
      <c r="L227" s="79">
        <f>K227*G227</f>
        <v>22844.952999999998</v>
      </c>
      <c r="M227" s="76"/>
      <c r="N227" s="75" t="s">
        <v>42</v>
      </c>
      <c r="O227" s="80" t="s">
        <v>1509</v>
      </c>
      <c r="P227" s="81">
        <v>37073</v>
      </c>
      <c r="Q227" s="80" t="s">
        <v>336</v>
      </c>
      <c r="R227" s="81"/>
      <c r="S227" s="81">
        <v>42793</v>
      </c>
      <c r="T227" s="81">
        <v>36367</v>
      </c>
      <c r="U227" s="81">
        <v>37073</v>
      </c>
      <c r="V227" s="76"/>
      <c r="W227" s="76"/>
      <c r="X227" s="5" t="s">
        <v>1286</v>
      </c>
      <c r="Y227" s="5" t="s">
        <v>190</v>
      </c>
      <c r="Z227" s="76" t="s">
        <v>190</v>
      </c>
      <c r="AA227" s="82" t="s">
        <v>36</v>
      </c>
      <c r="AB227" s="83" t="s">
        <v>37</v>
      </c>
      <c r="AC227" s="84"/>
      <c r="AD227" s="76">
        <v>1</v>
      </c>
      <c r="AE227" s="76"/>
      <c r="AF227" s="76"/>
      <c r="AG227" s="84"/>
      <c r="AH227" s="76"/>
      <c r="AI227" s="76">
        <v>12</v>
      </c>
      <c r="AJ227" s="76"/>
      <c r="AK227" s="84"/>
      <c r="AL227" s="84"/>
      <c r="AM227" s="84"/>
      <c r="AN227" s="84"/>
      <c r="AO227" s="84"/>
    </row>
    <row r="228" spans="1:41" s="1" customFormat="1" ht="45" customHeight="1" x14ac:dyDescent="0.2">
      <c r="A228" s="75">
        <v>59</v>
      </c>
      <c r="B228" s="75"/>
      <c r="C228" s="76" t="s">
        <v>1270</v>
      </c>
      <c r="D228" s="76" t="s">
        <v>1510</v>
      </c>
      <c r="E228" s="75" t="s">
        <v>1511</v>
      </c>
      <c r="F228" s="75" t="e">
        <f>DATEDIF(P228,Q228,"y") + DATEDIF(T228,U228,"y") + DATEDIF(V228,W228,"y") + SUM(AD228) &amp; " años " &amp; DATEDIF(P228,Q228,"ym") + DATEDIF(T228,U228,"ym") + DATEDIF(V228,W228,"ym") + SUM(AE228) - SUM(AI228) &amp; " meses " &amp; DATEDIF(P228,Q228,"md") + DATEDIF(T228,U228,"md") + DATEDIF(V228,W228,"md") - SUM(AJ228) &amp; " días"</f>
        <v>#VALUE!</v>
      </c>
      <c r="G228" s="77">
        <v>0.75</v>
      </c>
      <c r="H228" s="78" t="e">
        <f t="shared" si="26"/>
        <v>#VALUE!</v>
      </c>
      <c r="I228" s="78" t="e">
        <f>DATEDIF(S228,Q228,"y") &amp; " años " &amp; DATEDIF(S228,Q228,"ym") &amp; " meses " &amp; DATEDIF(S228,Q228,"md") &amp; " días"</f>
        <v>#VALUE!</v>
      </c>
      <c r="J228" s="75"/>
      <c r="K228" s="79">
        <f>31510.28</f>
        <v>31510.28</v>
      </c>
      <c r="L228" s="79">
        <f>K228*G228</f>
        <v>23632.71</v>
      </c>
      <c r="M228" s="76"/>
      <c r="N228" s="75" t="s">
        <v>42</v>
      </c>
      <c r="O228" s="80" t="s">
        <v>1512</v>
      </c>
      <c r="P228" s="81">
        <v>40118</v>
      </c>
      <c r="Q228" s="80" t="s">
        <v>336</v>
      </c>
      <c r="R228" s="81"/>
      <c r="S228" s="81">
        <v>43523</v>
      </c>
      <c r="T228" s="81">
        <v>35593</v>
      </c>
      <c r="U228" s="81">
        <v>39983</v>
      </c>
      <c r="V228" s="76"/>
      <c r="W228" s="76"/>
      <c r="X228" s="5" t="s">
        <v>1286</v>
      </c>
      <c r="Y228" s="5" t="s">
        <v>190</v>
      </c>
      <c r="Z228" s="76" t="s">
        <v>190</v>
      </c>
      <c r="AA228" s="82" t="s">
        <v>36</v>
      </c>
      <c r="AB228" s="83" t="s">
        <v>37</v>
      </c>
      <c r="AC228" s="84"/>
      <c r="AD228" s="76"/>
      <c r="AE228" s="76"/>
      <c r="AF228" s="76"/>
      <c r="AG228" s="84"/>
      <c r="AH228" s="76"/>
      <c r="AI228" s="76"/>
      <c r="AJ228" s="76"/>
      <c r="AK228" s="84"/>
      <c r="AL228" s="84"/>
      <c r="AM228" s="84"/>
      <c r="AN228" s="84"/>
      <c r="AO228" s="84"/>
    </row>
    <row r="229" spans="1:41" s="1" customFormat="1" ht="45" customHeight="1" x14ac:dyDescent="0.2">
      <c r="A229" s="75">
        <v>60</v>
      </c>
      <c r="B229" s="75"/>
      <c r="C229" s="76" t="s">
        <v>1270</v>
      </c>
      <c r="D229" s="76" t="s">
        <v>1513</v>
      </c>
      <c r="E229" s="75" t="s">
        <v>1514</v>
      </c>
      <c r="F229" s="75" t="e">
        <f>DATEDIF(P229,Q229,"y") + DATEDIF(T229,U229,"y") + DATEDIF(V229,W229,"y") + SUM(AD229) &amp; " años " &amp; DATEDIF(P229,Q229,"ym") + DATEDIF(T229,U229,"ym") + DATEDIF(V229,W229,"ym") + SUM(AE229) - SUM(AI229) &amp; " meses " &amp; DATEDIF(P229,Q229,"md") + DATEDIF(T229,U229,"md") + DATEDIF(V229,W229,"md") - SUM(AJ229) &amp; " días"</f>
        <v>#VALUE!</v>
      </c>
      <c r="G229" s="85">
        <v>0.72499999999999998</v>
      </c>
      <c r="H229" s="78" t="e">
        <f t="shared" si="26"/>
        <v>#VALUE!</v>
      </c>
      <c r="I229" s="78" t="e">
        <f>DATEDIF(S229,Q229,"y") &amp; " años " &amp; DATEDIF(S229,Q229,"ym") &amp; " meses " &amp; DATEDIF(S229,Q229,"md") &amp; " días"</f>
        <v>#VALUE!</v>
      </c>
      <c r="J229" s="75"/>
      <c r="K229" s="79">
        <f>31510.28</f>
        <v>31510.28</v>
      </c>
      <c r="L229" s="79">
        <f>K229*G229</f>
        <v>22844.952999999998</v>
      </c>
      <c r="M229" s="76"/>
      <c r="N229" s="75" t="s">
        <v>42</v>
      </c>
      <c r="O229" s="80" t="s">
        <v>1515</v>
      </c>
      <c r="P229" s="81">
        <v>36342</v>
      </c>
      <c r="Q229" s="80" t="s">
        <v>336</v>
      </c>
      <c r="R229" s="81"/>
      <c r="S229" s="81">
        <v>43158</v>
      </c>
      <c r="T229" s="81"/>
      <c r="U229" s="81"/>
      <c r="V229" s="76"/>
      <c r="W229" s="76"/>
      <c r="X229" s="5"/>
      <c r="Y229" s="5"/>
      <c r="Z229" s="76" t="s">
        <v>190</v>
      </c>
      <c r="AA229" s="82" t="s">
        <v>36</v>
      </c>
      <c r="AB229" s="83" t="s">
        <v>37</v>
      </c>
      <c r="AC229" s="84"/>
      <c r="AD229" s="76"/>
      <c r="AE229" s="76"/>
      <c r="AF229" s="76"/>
      <c r="AG229" s="84"/>
      <c r="AH229" s="76"/>
      <c r="AI229" s="76"/>
      <c r="AJ229" s="76"/>
      <c r="AK229" s="84"/>
      <c r="AL229" s="84"/>
      <c r="AM229" s="84"/>
      <c r="AN229" s="84"/>
      <c r="AO229" s="84"/>
    </row>
    <row r="230" spans="1:41" s="1" customFormat="1" ht="45" customHeight="1" x14ac:dyDescent="0.2">
      <c r="A230" s="75">
        <v>61</v>
      </c>
      <c r="B230" s="75"/>
      <c r="C230" s="76" t="s">
        <v>1270</v>
      </c>
      <c r="D230" s="76" t="s">
        <v>1516</v>
      </c>
      <c r="E230" s="75" t="s">
        <v>1517</v>
      </c>
      <c r="F230" s="75" t="e">
        <f>DATEDIF(P230,Q230,"y") + DATEDIF(T230,U230,"y") + DATEDIF(V230,W230,"y") + SUM(Z230) &amp; " años " &amp; DATEDIF(P230,Q230,"ym") + DATEDIF(T230,U230,"ym") + DATEDIF(V230,W230,"ym") + SUM(AA230) - SUM(AE230) &amp; " meses " &amp; DATEDIF(P230,Q230,"md") + DATEDIF(T230,U230,"md") + DATEDIF(V230,W230,"md") - SUM(AF230) &amp; " días"</f>
        <v>#VALUE!</v>
      </c>
      <c r="G230" s="85">
        <v>0.67500000000000004</v>
      </c>
      <c r="H230" s="78" t="e">
        <f t="shared" si="26"/>
        <v>#VALUE!</v>
      </c>
      <c r="I230" s="78" t="e">
        <f>DATEDIF(S230,Q230,"y") &amp; " años " &amp; DATEDIF(S230,Q230,"ym") &amp; " meses " &amp; DATEDIF(S230,Q230,"md") &amp; " días"</f>
        <v>#VALUE!</v>
      </c>
      <c r="J230" s="75"/>
      <c r="K230" s="79">
        <f>31510.27</f>
        <v>31510.27</v>
      </c>
      <c r="L230" s="79">
        <f>K230*G230</f>
        <v>21269.432250000002</v>
      </c>
      <c r="M230" s="76"/>
      <c r="N230" s="75" t="s">
        <v>42</v>
      </c>
      <c r="O230" s="80" t="s">
        <v>1518</v>
      </c>
      <c r="P230" s="81">
        <v>37135</v>
      </c>
      <c r="Q230" s="80" t="s">
        <v>336</v>
      </c>
      <c r="R230" s="81"/>
      <c r="S230" s="81">
        <v>43158</v>
      </c>
      <c r="T230" s="81"/>
      <c r="U230" s="81"/>
      <c r="V230" s="76"/>
      <c r="W230" s="76"/>
      <c r="X230" s="5"/>
      <c r="Y230" s="5"/>
      <c r="Z230" s="76" t="s">
        <v>190</v>
      </c>
      <c r="AA230" s="82" t="s">
        <v>36</v>
      </c>
      <c r="AB230" s="83" t="s">
        <v>37</v>
      </c>
      <c r="AC230" s="84"/>
      <c r="AD230" s="76"/>
      <c r="AE230" s="76"/>
      <c r="AF230" s="76"/>
      <c r="AG230" s="84"/>
      <c r="AH230" s="76"/>
      <c r="AI230" s="76"/>
      <c r="AJ230" s="76"/>
      <c r="AK230" s="84"/>
      <c r="AL230" s="84"/>
      <c r="AM230" s="84"/>
      <c r="AN230" s="84"/>
      <c r="AO230" s="84"/>
    </row>
    <row r="231" spans="1:41" s="1" customFormat="1" ht="45" customHeight="1" x14ac:dyDescent="0.2">
      <c r="A231" s="75">
        <v>62</v>
      </c>
      <c r="B231" s="75"/>
      <c r="C231" s="76" t="s">
        <v>1270</v>
      </c>
      <c r="D231" s="76" t="s">
        <v>1519</v>
      </c>
      <c r="E231" s="75" t="s">
        <v>1520</v>
      </c>
      <c r="F231" s="75" t="e">
        <f t="shared" ref="F231:F238" si="35">DATEDIF(P231,Q231,"y") + DATEDIF(T231,U231,"y") + DATEDIF(V231,W231,"y") + SUM(AD231) &amp; " años " &amp; DATEDIF(P231,Q231,"ym") + DATEDIF(T231,U231,"ym") + DATEDIF(V231,W231,"ym") + SUM(AE231) - SUM(AI231) &amp; " meses " &amp; DATEDIF(P231,Q231,"md") + DATEDIF(T231,U231,"md") + DATEDIF(V231,W231,"md") - SUM(AJ231) &amp; " días"</f>
        <v>#VALUE!</v>
      </c>
      <c r="G231" s="85">
        <v>0.77500000000000002</v>
      </c>
      <c r="H231" s="78" t="e">
        <f t="shared" si="26"/>
        <v>#VALUE!</v>
      </c>
      <c r="I231" s="78" t="e">
        <f>DATEDIF(S231,Q231,"y") &amp; " años " &amp; DATEDIF(S231,Q231,"ym") &amp; " meses " &amp; DATEDIF(S231,Q231,"md") &amp; " días"</f>
        <v>#VALUE!</v>
      </c>
      <c r="J231" s="75"/>
      <c r="K231" s="79">
        <f>31510.27</f>
        <v>31510.27</v>
      </c>
      <c r="L231" s="79">
        <f>K231*G231</f>
        <v>24420.45925</v>
      </c>
      <c r="M231" s="76"/>
      <c r="N231" s="75" t="s">
        <v>42</v>
      </c>
      <c r="O231" s="80" t="s">
        <v>1521</v>
      </c>
      <c r="P231" s="81">
        <v>37104</v>
      </c>
      <c r="Q231" s="80" t="s">
        <v>336</v>
      </c>
      <c r="R231" s="81"/>
      <c r="S231" s="81">
        <v>42427</v>
      </c>
      <c r="T231" s="81">
        <v>33714</v>
      </c>
      <c r="U231" s="81">
        <v>35175</v>
      </c>
      <c r="V231" s="76"/>
      <c r="W231" s="76"/>
      <c r="X231" s="5" t="s">
        <v>1286</v>
      </c>
      <c r="Y231" s="5" t="s">
        <v>190</v>
      </c>
      <c r="Z231" s="76" t="s">
        <v>190</v>
      </c>
      <c r="AA231" s="82" t="s">
        <v>36</v>
      </c>
      <c r="AB231" s="83" t="s">
        <v>37</v>
      </c>
      <c r="AC231" s="84"/>
      <c r="AD231" s="76"/>
      <c r="AE231" s="76"/>
      <c r="AF231" s="76"/>
      <c r="AG231" s="84"/>
      <c r="AH231" s="76"/>
      <c r="AI231" s="76"/>
      <c r="AJ231" s="76"/>
      <c r="AK231" s="84"/>
      <c r="AL231" s="84"/>
      <c r="AM231" s="84"/>
      <c r="AN231" s="84"/>
      <c r="AO231" s="84"/>
    </row>
    <row r="232" spans="1:41" s="1" customFormat="1" ht="45" customHeight="1" x14ac:dyDescent="0.2">
      <c r="A232" s="75">
        <v>63</v>
      </c>
      <c r="B232" s="75"/>
      <c r="C232" s="76" t="s">
        <v>704</v>
      </c>
      <c r="D232" s="76" t="s">
        <v>1522</v>
      </c>
      <c r="E232" s="75" t="s">
        <v>1523</v>
      </c>
      <c r="F232" s="75" t="e">
        <f t="shared" si="35"/>
        <v>#VALUE!</v>
      </c>
      <c r="G232" s="77">
        <v>0.6</v>
      </c>
      <c r="H232" s="78" t="e">
        <f t="shared" si="26"/>
        <v>#VALUE!</v>
      </c>
      <c r="I232" s="78"/>
      <c r="J232" s="75"/>
      <c r="K232" s="79">
        <f>24159.29</f>
        <v>24159.29</v>
      </c>
      <c r="L232" s="79">
        <f t="shared" ref="L232:L234" si="36">K232*G232</f>
        <v>14495.574000000001</v>
      </c>
      <c r="M232" s="76"/>
      <c r="N232" s="75" t="s">
        <v>298</v>
      </c>
      <c r="O232" s="80" t="s">
        <v>1524</v>
      </c>
      <c r="P232" s="81">
        <v>44937</v>
      </c>
      <c r="Q232" s="80" t="s">
        <v>336</v>
      </c>
      <c r="R232" s="81"/>
      <c r="S232" s="81"/>
      <c r="T232" s="81">
        <v>37742</v>
      </c>
      <c r="U232" s="81">
        <v>44706</v>
      </c>
      <c r="V232" s="76"/>
      <c r="W232" s="76"/>
      <c r="X232" s="5" t="s">
        <v>1286</v>
      </c>
      <c r="Y232" s="5"/>
      <c r="Z232" s="76" t="s">
        <v>190</v>
      </c>
      <c r="AA232" s="82" t="s">
        <v>36</v>
      </c>
      <c r="AB232" s="83" t="s">
        <v>37</v>
      </c>
      <c r="AC232" s="84"/>
      <c r="AD232" s="76"/>
      <c r="AE232" s="76">
        <v>1</v>
      </c>
      <c r="AF232" s="76"/>
      <c r="AG232" s="84"/>
      <c r="AH232" s="76"/>
      <c r="AI232" s="76"/>
      <c r="AJ232" s="76">
        <v>31</v>
      </c>
      <c r="AK232" s="84"/>
      <c r="AL232" s="84"/>
      <c r="AM232" s="84"/>
      <c r="AN232" s="84"/>
      <c r="AO232" s="84"/>
    </row>
    <row r="233" spans="1:41" s="1" customFormat="1" ht="45" customHeight="1" x14ac:dyDescent="0.2">
      <c r="A233" s="75">
        <v>64</v>
      </c>
      <c r="B233" s="75"/>
      <c r="C233" s="76" t="s">
        <v>704</v>
      </c>
      <c r="D233" s="76" t="s">
        <v>1525</v>
      </c>
      <c r="E233" s="75" t="s">
        <v>1526</v>
      </c>
      <c r="F233" s="75" t="e">
        <f t="shared" si="35"/>
        <v>#VALUE!</v>
      </c>
      <c r="G233" s="85">
        <v>0.67500000000000004</v>
      </c>
      <c r="H233" s="78" t="e">
        <f t="shared" si="26"/>
        <v>#VALUE!</v>
      </c>
      <c r="I233" s="78"/>
      <c r="J233" s="75"/>
      <c r="K233" s="79">
        <f>24159.29</f>
        <v>24159.29</v>
      </c>
      <c r="L233" s="79">
        <f t="shared" si="36"/>
        <v>16307.520750000001</v>
      </c>
      <c r="M233" s="76"/>
      <c r="N233" s="75" t="s">
        <v>298</v>
      </c>
      <c r="O233" s="80" t="s">
        <v>1527</v>
      </c>
      <c r="P233" s="81">
        <v>37104</v>
      </c>
      <c r="Q233" s="80" t="s">
        <v>336</v>
      </c>
      <c r="R233" s="81"/>
      <c r="S233" s="81"/>
      <c r="T233" s="81"/>
      <c r="U233" s="81"/>
      <c r="V233" s="76"/>
      <c r="W233" s="76"/>
      <c r="X233" s="5"/>
      <c r="Y233" s="5"/>
      <c r="Z233" s="76" t="s">
        <v>190</v>
      </c>
      <c r="AA233" s="82" t="s">
        <v>36</v>
      </c>
      <c r="AB233" s="83" t="s">
        <v>37</v>
      </c>
      <c r="AC233" s="84"/>
      <c r="AD233" s="76"/>
      <c r="AE233" s="76"/>
      <c r="AF233" s="76"/>
      <c r="AG233" s="84"/>
      <c r="AH233" s="76"/>
      <c r="AI233" s="76"/>
      <c r="AJ233" s="76"/>
      <c r="AK233" s="84"/>
      <c r="AL233" s="84"/>
      <c r="AM233" s="84"/>
      <c r="AN233" s="84"/>
      <c r="AO233" s="84"/>
    </row>
    <row r="234" spans="1:41" s="1" customFormat="1" ht="45" customHeight="1" x14ac:dyDescent="0.2">
      <c r="A234" s="75">
        <v>65</v>
      </c>
      <c r="B234" s="75"/>
      <c r="C234" s="76" t="s">
        <v>704</v>
      </c>
      <c r="D234" s="76" t="s">
        <v>1528</v>
      </c>
      <c r="E234" s="75" t="s">
        <v>1529</v>
      </c>
      <c r="F234" s="75" t="e">
        <f t="shared" si="35"/>
        <v>#VALUE!</v>
      </c>
      <c r="G234" s="85">
        <v>0.625</v>
      </c>
      <c r="H234" s="78" t="e">
        <f t="shared" ref="H234:H238" si="37">DATEDIF(R234,Q234,"y") &amp; " años " &amp; DATEDIF(R234,Q234,"ym") &amp; " meses " &amp; DATEDIF(R234,Q234,"md") &amp; " días"</f>
        <v>#VALUE!</v>
      </c>
      <c r="I234" s="78"/>
      <c r="J234" s="75"/>
      <c r="K234" s="79">
        <f>24159.28</f>
        <v>24159.279999999999</v>
      </c>
      <c r="L234" s="79">
        <f t="shared" si="36"/>
        <v>15099.55</v>
      </c>
      <c r="M234" s="76"/>
      <c r="N234" s="75" t="s">
        <v>298</v>
      </c>
      <c r="O234" s="80" t="s">
        <v>1530</v>
      </c>
      <c r="P234" s="81">
        <v>37712</v>
      </c>
      <c r="Q234" s="80" t="s">
        <v>336</v>
      </c>
      <c r="R234" s="81"/>
      <c r="S234" s="81"/>
      <c r="T234" s="81"/>
      <c r="U234" s="81"/>
      <c r="V234" s="76"/>
      <c r="W234" s="76"/>
      <c r="X234" s="5"/>
      <c r="Y234" s="5"/>
      <c r="Z234" s="76" t="s">
        <v>190</v>
      </c>
      <c r="AA234" s="82" t="s">
        <v>36</v>
      </c>
      <c r="AB234" s="83" t="s">
        <v>37</v>
      </c>
      <c r="AC234" s="84"/>
      <c r="AD234" s="76"/>
      <c r="AE234" s="76"/>
      <c r="AF234" s="76"/>
      <c r="AG234" s="84"/>
      <c r="AH234" s="76"/>
      <c r="AI234" s="76"/>
      <c r="AJ234" s="76"/>
      <c r="AK234" s="84"/>
      <c r="AL234" s="84"/>
      <c r="AM234" s="84"/>
      <c r="AN234" s="84"/>
      <c r="AO234" s="84"/>
    </row>
    <row r="235" spans="1:41" s="1" customFormat="1" ht="45" customHeight="1" x14ac:dyDescent="0.2">
      <c r="A235" s="75">
        <v>66</v>
      </c>
      <c r="B235" s="75"/>
      <c r="C235" s="76" t="s">
        <v>704</v>
      </c>
      <c r="D235" s="76" t="s">
        <v>1531</v>
      </c>
      <c r="E235" s="75" t="s">
        <v>1532</v>
      </c>
      <c r="F235" s="75" t="e">
        <f t="shared" si="35"/>
        <v>#VALUE!</v>
      </c>
      <c r="G235" s="85">
        <v>0.67500000000000004</v>
      </c>
      <c r="H235" s="78" t="e">
        <f t="shared" si="37"/>
        <v>#VALUE!</v>
      </c>
      <c r="I235" s="78"/>
      <c r="J235" s="75"/>
      <c r="K235" s="79">
        <f>24159.29</f>
        <v>24159.29</v>
      </c>
      <c r="L235" s="79">
        <f>K235*G235</f>
        <v>16307.520750000001</v>
      </c>
      <c r="M235" s="76"/>
      <c r="N235" s="75" t="s">
        <v>298</v>
      </c>
      <c r="O235" s="80" t="s">
        <v>1533</v>
      </c>
      <c r="P235" s="81">
        <v>39508</v>
      </c>
      <c r="Q235" s="80" t="s">
        <v>336</v>
      </c>
      <c r="R235" s="81"/>
      <c r="S235" s="81"/>
      <c r="T235" s="81">
        <v>36617</v>
      </c>
      <c r="U235" s="81">
        <v>39283</v>
      </c>
      <c r="V235" s="76"/>
      <c r="W235" s="76"/>
      <c r="X235" s="5" t="s">
        <v>1286</v>
      </c>
      <c r="Y235" s="5"/>
      <c r="Z235" s="76" t="s">
        <v>190</v>
      </c>
      <c r="AA235" s="82" t="s">
        <v>36</v>
      </c>
      <c r="AB235" s="83" t="s">
        <v>37</v>
      </c>
      <c r="AC235" s="84"/>
      <c r="AD235" s="76"/>
      <c r="AE235" s="76"/>
      <c r="AF235" s="76"/>
      <c r="AG235" s="84"/>
      <c r="AH235" s="76"/>
      <c r="AI235" s="76"/>
      <c r="AJ235" s="76"/>
      <c r="AK235" s="84"/>
      <c r="AL235" s="84"/>
      <c r="AM235" s="84"/>
      <c r="AN235" s="84"/>
      <c r="AO235" s="84"/>
    </row>
    <row r="236" spans="1:41" s="1" customFormat="1" ht="45" customHeight="1" x14ac:dyDescent="0.2">
      <c r="A236" s="75">
        <v>67</v>
      </c>
      <c r="B236" s="75"/>
      <c r="C236" s="76" t="s">
        <v>704</v>
      </c>
      <c r="D236" s="76" t="s">
        <v>1534</v>
      </c>
      <c r="E236" s="75" t="s">
        <v>1535</v>
      </c>
      <c r="F236" s="75" t="e">
        <f t="shared" si="35"/>
        <v>#VALUE!</v>
      </c>
      <c r="G236" s="85">
        <v>0.67500000000000004</v>
      </c>
      <c r="H236" s="78" t="e">
        <f t="shared" si="37"/>
        <v>#VALUE!</v>
      </c>
      <c r="I236" s="78"/>
      <c r="J236" s="75"/>
      <c r="K236" s="79">
        <f>24159.29</f>
        <v>24159.29</v>
      </c>
      <c r="L236" s="79">
        <f t="shared" ref="L236:L237" si="38">K236*G236</f>
        <v>16307.520750000001</v>
      </c>
      <c r="M236" s="76"/>
      <c r="N236" s="75" t="s">
        <v>298</v>
      </c>
      <c r="O236" s="80" t="s">
        <v>1536</v>
      </c>
      <c r="P236" s="81">
        <v>36861</v>
      </c>
      <c r="Q236" s="80" t="s">
        <v>336</v>
      </c>
      <c r="R236" s="81"/>
      <c r="S236" s="81"/>
      <c r="T236" s="81"/>
      <c r="U236" s="81"/>
      <c r="V236" s="76"/>
      <c r="W236" s="76"/>
      <c r="X236" s="5"/>
      <c r="Y236" s="5"/>
      <c r="Z236" s="76" t="s">
        <v>190</v>
      </c>
      <c r="AA236" s="82" t="s">
        <v>36</v>
      </c>
      <c r="AB236" s="83" t="s">
        <v>37</v>
      </c>
      <c r="AC236" s="84"/>
      <c r="AD236" s="76"/>
      <c r="AE236" s="76"/>
      <c r="AF236" s="76"/>
      <c r="AG236" s="84"/>
      <c r="AH236" s="76"/>
      <c r="AI236" s="76"/>
      <c r="AJ236" s="76"/>
      <c r="AK236" s="84"/>
      <c r="AL236" s="84"/>
      <c r="AM236" s="84"/>
      <c r="AN236" s="84"/>
      <c r="AO236" s="84"/>
    </row>
    <row r="237" spans="1:41" s="1" customFormat="1" ht="45" customHeight="1" x14ac:dyDescent="0.2">
      <c r="A237" s="75">
        <v>68</v>
      </c>
      <c r="B237" s="75"/>
      <c r="C237" s="76" t="s">
        <v>300</v>
      </c>
      <c r="D237" s="76" t="s">
        <v>1537</v>
      </c>
      <c r="E237" s="75" t="s">
        <v>1538</v>
      </c>
      <c r="F237" s="75" t="e">
        <f t="shared" si="35"/>
        <v>#VALUE!</v>
      </c>
      <c r="G237" s="77">
        <v>0.7</v>
      </c>
      <c r="H237" s="78" t="e">
        <f t="shared" si="37"/>
        <v>#VALUE!</v>
      </c>
      <c r="I237" s="78"/>
      <c r="J237" s="75"/>
      <c r="K237" s="79">
        <v>16995.259999999998</v>
      </c>
      <c r="L237" s="79">
        <f t="shared" si="38"/>
        <v>11896.681999999999</v>
      </c>
      <c r="M237" s="76"/>
      <c r="N237" s="75" t="s">
        <v>298</v>
      </c>
      <c r="O237" s="80" t="s">
        <v>1539</v>
      </c>
      <c r="P237" s="81">
        <v>36708</v>
      </c>
      <c r="Q237" s="80" t="s">
        <v>336</v>
      </c>
      <c r="R237" s="81"/>
      <c r="S237" s="81"/>
      <c r="T237" s="81"/>
      <c r="U237" s="81"/>
      <c r="V237" s="76"/>
      <c r="W237" s="76"/>
      <c r="X237" s="5"/>
      <c r="Y237" s="5"/>
      <c r="Z237" s="76" t="s">
        <v>190</v>
      </c>
      <c r="AA237" s="82" t="s">
        <v>36</v>
      </c>
      <c r="AB237" s="83" t="s">
        <v>37</v>
      </c>
      <c r="AC237" s="84"/>
      <c r="AD237" s="76"/>
      <c r="AE237" s="76"/>
      <c r="AF237" s="76"/>
      <c r="AG237" s="84"/>
      <c r="AH237" s="76"/>
      <c r="AI237" s="76"/>
      <c r="AJ237" s="76"/>
      <c r="AK237" s="84"/>
      <c r="AL237" s="84"/>
      <c r="AM237" s="84"/>
      <c r="AN237" s="84"/>
      <c r="AO237" s="84"/>
    </row>
    <row r="238" spans="1:41" s="1" customFormat="1" ht="45" customHeight="1" x14ac:dyDescent="0.2">
      <c r="A238" s="75">
        <v>69</v>
      </c>
      <c r="B238" s="75"/>
      <c r="C238" s="76" t="s">
        <v>300</v>
      </c>
      <c r="D238" s="76" t="s">
        <v>1540</v>
      </c>
      <c r="E238" s="75" t="s">
        <v>1541</v>
      </c>
      <c r="F238" s="75" t="e">
        <f t="shared" si="35"/>
        <v>#VALUE!</v>
      </c>
      <c r="G238" s="85">
        <v>0.82499999999999996</v>
      </c>
      <c r="H238" s="78" t="e">
        <f t="shared" si="37"/>
        <v>#VALUE!</v>
      </c>
      <c r="I238" s="78"/>
      <c r="J238" s="75"/>
      <c r="K238" s="79">
        <v>9819.69</v>
      </c>
      <c r="L238" s="79">
        <v>10000</v>
      </c>
      <c r="M238" s="76"/>
      <c r="N238" s="75" t="s">
        <v>298</v>
      </c>
      <c r="O238" s="80" t="s">
        <v>1542</v>
      </c>
      <c r="P238" s="81">
        <v>37565</v>
      </c>
      <c r="Q238" s="80" t="s">
        <v>336</v>
      </c>
      <c r="R238" s="81"/>
      <c r="S238" s="81"/>
      <c r="T238" s="81">
        <v>29983</v>
      </c>
      <c r="U238" s="81">
        <v>32813</v>
      </c>
      <c r="V238" s="76"/>
      <c r="W238" s="76"/>
      <c r="X238" s="5" t="s">
        <v>1286</v>
      </c>
      <c r="Y238" s="5"/>
      <c r="Z238" s="76" t="s">
        <v>190</v>
      </c>
      <c r="AA238" s="82" t="s">
        <v>36</v>
      </c>
      <c r="AB238" s="83" t="s">
        <v>37</v>
      </c>
      <c r="AC238" s="84"/>
      <c r="AD238" s="76">
        <v>1</v>
      </c>
      <c r="AE238" s="76"/>
      <c r="AF238" s="76"/>
      <c r="AG238" s="84"/>
      <c r="AH238" s="76"/>
      <c r="AI238" s="76">
        <v>12</v>
      </c>
      <c r="AJ238" s="76"/>
      <c r="AK238" s="84"/>
      <c r="AL238" s="84"/>
      <c r="AM238" s="84"/>
      <c r="AN238" s="84"/>
      <c r="AO238" s="84"/>
    </row>
    <row r="239" spans="1:41" ht="12.75" customHeight="1" x14ac:dyDescent="0.25"/>
    <row r="240" spans="1:41" s="91" customFormat="1" x14ac:dyDescent="0.25">
      <c r="A240" s="191" t="s">
        <v>234</v>
      </c>
      <c r="B240" s="191"/>
      <c r="C240" s="191"/>
      <c r="D240" s="191"/>
      <c r="E240" s="191"/>
      <c r="F240" s="191"/>
      <c r="G240" s="191"/>
      <c r="H240" s="191"/>
      <c r="I240" s="191"/>
      <c r="J240" s="191"/>
      <c r="K240" s="138"/>
      <c r="L240" s="138"/>
      <c r="M240" s="138"/>
      <c r="N240" s="138"/>
      <c r="O240" s="138"/>
      <c r="P240" s="138"/>
      <c r="Q240" s="138"/>
      <c r="R240" s="138"/>
      <c r="S240" s="90"/>
      <c r="T240" s="90"/>
      <c r="Z240" s="52"/>
      <c r="AA240" s="52"/>
      <c r="AB240" s="52"/>
      <c r="AD240" s="92"/>
      <c r="AG240" s="93"/>
      <c r="AH240" s="181" t="s">
        <v>2</v>
      </c>
      <c r="AI240" s="181"/>
      <c r="AJ240" s="181"/>
      <c r="AL240" s="181" t="s">
        <v>3</v>
      </c>
      <c r="AM240" s="181"/>
      <c r="AN240" s="181"/>
    </row>
    <row r="241" spans="1:41" s="104" customFormat="1" ht="30" customHeight="1" x14ac:dyDescent="0.25">
      <c r="A241" s="94" t="s">
        <v>4</v>
      </c>
      <c r="B241" s="94" t="s">
        <v>5</v>
      </c>
      <c r="C241" s="95" t="s">
        <v>6</v>
      </c>
      <c r="D241" s="95" t="s">
        <v>7</v>
      </c>
      <c r="E241" s="94" t="s">
        <v>8</v>
      </c>
      <c r="F241" s="96" t="s">
        <v>9</v>
      </c>
      <c r="G241" s="96" t="s">
        <v>10</v>
      </c>
      <c r="H241" s="95" t="s">
        <v>11</v>
      </c>
      <c r="I241" s="97" t="s">
        <v>12</v>
      </c>
      <c r="J241" s="182" t="s">
        <v>13</v>
      </c>
      <c r="K241" s="183"/>
      <c r="L241" s="98" t="s">
        <v>14</v>
      </c>
      <c r="M241" s="99" t="s">
        <v>15</v>
      </c>
      <c r="N241" s="99" t="s">
        <v>17</v>
      </c>
      <c r="O241" s="99" t="s">
        <v>18</v>
      </c>
      <c r="P241" s="99" t="s">
        <v>18</v>
      </c>
      <c r="Q241" s="99" t="s">
        <v>335</v>
      </c>
      <c r="R241" s="99" t="s">
        <v>1950</v>
      </c>
      <c r="S241" s="100" t="s">
        <v>19</v>
      </c>
      <c r="T241" s="100" t="s">
        <v>20</v>
      </c>
      <c r="U241" s="101" t="s">
        <v>21</v>
      </c>
      <c r="V241" s="95" t="s">
        <v>13</v>
      </c>
      <c r="W241" s="100" t="s">
        <v>19</v>
      </c>
      <c r="X241" s="100" t="s">
        <v>20</v>
      </c>
      <c r="Y241" s="100" t="s">
        <v>19</v>
      </c>
      <c r="Z241" s="100" t="s">
        <v>20</v>
      </c>
      <c r="AA241" s="52"/>
      <c r="AB241" s="52"/>
      <c r="AC241" s="102"/>
      <c r="AD241" s="100" t="s">
        <v>22</v>
      </c>
      <c r="AE241" s="100" t="s">
        <v>23</v>
      </c>
      <c r="AF241" s="100" t="s">
        <v>24</v>
      </c>
      <c r="AG241" s="93"/>
      <c r="AH241" s="103" t="s">
        <v>25</v>
      </c>
      <c r="AI241" s="103" t="s">
        <v>26</v>
      </c>
      <c r="AJ241" s="103" t="s">
        <v>27</v>
      </c>
      <c r="AK241" s="93"/>
      <c r="AL241" s="103" t="s">
        <v>25</v>
      </c>
      <c r="AM241" s="103" t="s">
        <v>26</v>
      </c>
      <c r="AN241" s="103" t="s">
        <v>28</v>
      </c>
    </row>
    <row r="242" spans="1:41" s="1" customFormat="1" ht="45" customHeight="1" x14ac:dyDescent="0.2">
      <c r="A242" s="75">
        <v>1</v>
      </c>
      <c r="B242" s="75"/>
      <c r="C242" s="76" t="s">
        <v>341</v>
      </c>
      <c r="D242" s="76" t="s">
        <v>1543</v>
      </c>
      <c r="E242" s="75" t="s">
        <v>1544</v>
      </c>
      <c r="F242" s="75" t="e">
        <f>DATEDIF(P242,Q242,"y") + DATEDIF(T242,U242,"y") + DATEDIF(V242,W242,"y") + SUM(Z242) &amp; " años " &amp; DATEDIF(P242,Q242,"ym") + DATEDIF(T242,U242,"ym") + DATEDIF(V242,W242,"ym") + SUM(AA242) - SUM(AE242) &amp; " meses " &amp; DATEDIF(P242,Q242,"md") + DATEDIF(T242,U242,"md") + DATEDIF(V242,W242,"md") - SUM(AF242) &amp; " días"</f>
        <v>#VALUE!</v>
      </c>
      <c r="G242" s="77">
        <v>1</v>
      </c>
      <c r="H242" s="78" t="e">
        <f t="shared" ref="H242:H305" si="39">DATEDIF(R242,Q242,"y") &amp; " años " &amp; DATEDIF(R242,Q242,"ym") &amp; " meses " &amp; DATEDIF(R242,Q242,"md") &amp; " días"</f>
        <v>#VALUE!</v>
      </c>
      <c r="I242" s="78" t="e">
        <f t="shared" ref="I242:I297" si="40">DATEDIF(S242,Q242,"y") &amp; " años " &amp; DATEDIF(S242,Q242,"ym") &amp; " meses " &amp; DATEDIF(S242,Q242,"md") &amp; " días"</f>
        <v>#VALUE!</v>
      </c>
      <c r="J242" s="75"/>
      <c r="K242" s="79">
        <f>50275.72+25000</f>
        <v>75275.72</v>
      </c>
      <c r="L242" s="79">
        <f t="shared" ref="L242:L305" si="41">K242*G242</f>
        <v>75275.72</v>
      </c>
      <c r="M242" s="76"/>
      <c r="N242" s="75" t="s">
        <v>42</v>
      </c>
      <c r="O242" s="80" t="s">
        <v>1545</v>
      </c>
      <c r="P242" s="81">
        <v>33512</v>
      </c>
      <c r="Q242" s="80" t="s">
        <v>336</v>
      </c>
      <c r="R242" s="81"/>
      <c r="S242" s="81">
        <v>42427</v>
      </c>
      <c r="T242" s="81">
        <v>30787</v>
      </c>
      <c r="U242" s="81">
        <v>33140</v>
      </c>
      <c r="V242" s="76"/>
      <c r="W242" s="76"/>
      <c r="X242" s="5"/>
      <c r="Y242" s="5"/>
      <c r="Z242" s="76" t="s">
        <v>1032</v>
      </c>
      <c r="AA242" s="82" t="s">
        <v>36</v>
      </c>
      <c r="AB242" s="83" t="s">
        <v>37</v>
      </c>
      <c r="AC242" s="84"/>
      <c r="AD242" s="76"/>
      <c r="AE242" s="76"/>
      <c r="AF242" s="76"/>
      <c r="AG242" s="84"/>
      <c r="AH242" s="76"/>
      <c r="AI242" s="76"/>
      <c r="AJ242" s="76"/>
      <c r="AK242" s="84"/>
      <c r="AL242" s="84"/>
      <c r="AM242" s="84"/>
      <c r="AN242" s="84"/>
      <c r="AO242" s="84"/>
    </row>
    <row r="243" spans="1:41" s="1" customFormat="1" ht="45" customHeight="1" x14ac:dyDescent="0.2">
      <c r="A243" s="75">
        <v>2</v>
      </c>
      <c r="B243" s="75"/>
      <c r="C243" s="76" t="s">
        <v>341</v>
      </c>
      <c r="D243" s="76" t="s">
        <v>1546</v>
      </c>
      <c r="E243" s="75" t="s">
        <v>1547</v>
      </c>
      <c r="F243" s="75" t="e">
        <f>DATEDIF(P243,Q243,"y") + DATEDIF(T243,U243,"y") + DATEDIF(V243,W243,"y") + SUM(Z243) &amp; " años " &amp; DATEDIF(P243,Q243,"ym") + DATEDIF(T243,U243,"ym") + DATEDIF(V243,W243,"ym") + SUM(AA243) - SUM(AE243) &amp; " meses " &amp; DATEDIF(P243,Q243,"md") + DATEDIF(T243,U243,"md") + DATEDIF(V243,W243,"md") - SUM(AF243) &amp; " días"</f>
        <v>#VALUE!</v>
      </c>
      <c r="G243" s="77">
        <v>1</v>
      </c>
      <c r="H243" s="78" t="e">
        <f t="shared" si="39"/>
        <v>#VALUE!</v>
      </c>
      <c r="I243" s="78" t="e">
        <f t="shared" si="40"/>
        <v>#VALUE!</v>
      </c>
      <c r="J243" s="75"/>
      <c r="K243" s="79">
        <v>150000</v>
      </c>
      <c r="L243" s="79">
        <f t="shared" si="41"/>
        <v>150000</v>
      </c>
      <c r="M243" s="76"/>
      <c r="N243" s="75" t="s">
        <v>42</v>
      </c>
      <c r="O243" s="80" t="s">
        <v>1548</v>
      </c>
      <c r="P243" s="81">
        <v>34027</v>
      </c>
      <c r="Q243" s="80" t="s">
        <v>1960</v>
      </c>
      <c r="R243" s="81"/>
      <c r="S243" s="81">
        <v>42062</v>
      </c>
      <c r="T243" s="81"/>
      <c r="U243" s="81"/>
      <c r="V243" s="76"/>
      <c r="W243" s="76"/>
      <c r="X243" s="5" t="s">
        <v>894</v>
      </c>
      <c r="Y243" s="5"/>
      <c r="Z243" s="76" t="s">
        <v>899</v>
      </c>
      <c r="AA243" s="82" t="s">
        <v>36</v>
      </c>
      <c r="AB243" s="83" t="s">
        <v>37</v>
      </c>
      <c r="AC243" s="84"/>
      <c r="AD243" s="76"/>
      <c r="AE243" s="76"/>
      <c r="AF243" s="76"/>
      <c r="AG243" s="84"/>
      <c r="AH243" s="76"/>
      <c r="AI243" s="76"/>
      <c r="AJ243" s="76"/>
      <c r="AK243" s="84"/>
      <c r="AL243" s="84"/>
      <c r="AM243" s="84"/>
      <c r="AN243" s="84"/>
      <c r="AO243" s="84"/>
    </row>
    <row r="244" spans="1:41" s="1" customFormat="1" ht="45" customHeight="1" x14ac:dyDescent="0.2">
      <c r="A244" s="75">
        <v>3</v>
      </c>
      <c r="B244" s="75"/>
      <c r="C244" s="76" t="s">
        <v>341</v>
      </c>
      <c r="D244" s="76" t="s">
        <v>1549</v>
      </c>
      <c r="E244" s="75" t="s">
        <v>1550</v>
      </c>
      <c r="F244" s="75" t="e">
        <f>DATEDIF(P244,Q244,"y") + DATEDIF(T244,U244,"y") + DATEDIF(V244,W244,"y") + SUM(AD244) &amp; " años " &amp; DATEDIF(P244,Q244,"ym") + DATEDIF(T244,U244,"ym") + DATEDIF(V244,W244,"ym") + SUM(AE244) - SUM(AI244) &amp; " meses " &amp; DATEDIF(P244,Q244,"md") + DATEDIF(T244,U244,"md") + DATEDIF(V244,W244,"md") - SUM(AJ244) &amp; " días"</f>
        <v>#VALUE!</v>
      </c>
      <c r="G244" s="77">
        <v>1</v>
      </c>
      <c r="H244" s="78" t="e">
        <f t="shared" si="39"/>
        <v>#VALUE!</v>
      </c>
      <c r="I244" s="78" t="e">
        <f t="shared" si="40"/>
        <v>#VALUE!</v>
      </c>
      <c r="J244" s="75"/>
      <c r="K244" s="79">
        <v>70000</v>
      </c>
      <c r="L244" s="79">
        <f t="shared" si="41"/>
        <v>70000</v>
      </c>
      <c r="M244" s="76"/>
      <c r="N244" s="75" t="s">
        <v>42</v>
      </c>
      <c r="O244" s="80" t="s">
        <v>1551</v>
      </c>
      <c r="P244" s="81">
        <v>31990</v>
      </c>
      <c r="Q244" s="80" t="s">
        <v>336</v>
      </c>
      <c r="R244" s="81"/>
      <c r="S244" s="81">
        <v>44984</v>
      </c>
      <c r="T244" s="81"/>
      <c r="U244" s="81"/>
      <c r="V244" s="76"/>
      <c r="W244" s="76"/>
      <c r="X244" s="5"/>
      <c r="Y244" s="5"/>
      <c r="Z244" s="76" t="s">
        <v>1032</v>
      </c>
      <c r="AA244" s="82" t="s">
        <v>36</v>
      </c>
      <c r="AB244" s="83" t="s">
        <v>37</v>
      </c>
      <c r="AC244" s="84"/>
      <c r="AD244" s="76"/>
      <c r="AE244" s="76"/>
      <c r="AF244" s="76"/>
      <c r="AG244" s="84"/>
      <c r="AH244" s="76"/>
      <c r="AI244" s="76"/>
      <c r="AJ244" s="76"/>
      <c r="AK244" s="84"/>
      <c r="AL244" s="84"/>
      <c r="AM244" s="84"/>
      <c r="AN244" s="84"/>
      <c r="AO244" s="84"/>
    </row>
    <row r="245" spans="1:41" s="1" customFormat="1" ht="45" customHeight="1" x14ac:dyDescent="0.2">
      <c r="A245" s="75">
        <v>4</v>
      </c>
      <c r="B245" s="75"/>
      <c r="C245" s="76" t="s">
        <v>341</v>
      </c>
      <c r="D245" s="76" t="s">
        <v>1552</v>
      </c>
      <c r="E245" s="75" t="s">
        <v>1553</v>
      </c>
      <c r="F245" s="75" t="e">
        <f>DATEDIF(P245,Q245,"y") + DATEDIF(T245,U245,"y") + DATEDIF(V245,W245,"y") + SUM(Z245) &amp; " años " &amp; DATEDIF(P245,Q245,"ym") + DATEDIF(T245,U245,"ym") + DATEDIF(V245,W245,"ym") + SUM(AA245) - SUM(AE245) &amp; " meses " &amp; DATEDIF(P245,Q245,"md") + DATEDIF(T245,U245,"md") + DATEDIF(V245,W245,"md") - SUM(AF245) &amp; " días"</f>
        <v>#VALUE!</v>
      </c>
      <c r="G245" s="77">
        <v>1</v>
      </c>
      <c r="H245" s="78" t="e">
        <f t="shared" si="39"/>
        <v>#VALUE!</v>
      </c>
      <c r="I245" s="78" t="e">
        <f t="shared" si="40"/>
        <v>#VALUE!</v>
      </c>
      <c r="J245" s="75" t="s">
        <v>13</v>
      </c>
      <c r="K245" s="79">
        <f>50275.72+25000</f>
        <v>75275.72</v>
      </c>
      <c r="L245" s="79">
        <f t="shared" si="41"/>
        <v>75275.72</v>
      </c>
      <c r="M245" s="76"/>
      <c r="N245" s="75" t="s">
        <v>42</v>
      </c>
      <c r="O245" s="80" t="s">
        <v>1554</v>
      </c>
      <c r="P245" s="81">
        <v>34027</v>
      </c>
      <c r="Q245" s="80" t="s">
        <v>336</v>
      </c>
      <c r="R245" s="81"/>
      <c r="S245" s="81">
        <v>39172</v>
      </c>
      <c r="T245" s="81"/>
      <c r="U245" s="81"/>
      <c r="V245" s="76"/>
      <c r="W245" s="76"/>
      <c r="X245" s="5" t="s">
        <v>1286</v>
      </c>
      <c r="Y245" s="5"/>
      <c r="Z245" s="76" t="s">
        <v>1032</v>
      </c>
      <c r="AA245" s="82" t="s">
        <v>36</v>
      </c>
      <c r="AB245" s="83" t="s">
        <v>37</v>
      </c>
      <c r="AC245" s="84"/>
      <c r="AD245" s="76"/>
      <c r="AE245" s="76"/>
      <c r="AF245" s="76"/>
      <c r="AG245" s="84"/>
      <c r="AH245" s="76"/>
      <c r="AI245" s="76"/>
      <c r="AJ245" s="76"/>
      <c r="AK245" s="84"/>
      <c r="AL245" s="84"/>
      <c r="AM245" s="84"/>
      <c r="AN245" s="84"/>
      <c r="AO245" s="84"/>
    </row>
    <row r="246" spans="1:41" s="1" customFormat="1" ht="45" customHeight="1" x14ac:dyDescent="0.2">
      <c r="A246" s="75">
        <v>5</v>
      </c>
      <c r="B246" s="75"/>
      <c r="C246" s="76" t="s">
        <v>341</v>
      </c>
      <c r="D246" s="76" t="s">
        <v>1555</v>
      </c>
      <c r="E246" s="75" t="s">
        <v>1556</v>
      </c>
      <c r="F246" s="75" t="e">
        <f>DATEDIF(P246,Q246,"y") + DATEDIF(T246,U246,"y") + DATEDIF(V246,W246,"y") + SUM(AD246) &amp; " años " &amp; DATEDIF(P246,Q246,"ym") + DATEDIF(T246,U246,"ym") + DATEDIF(V246,W246,"ym") + SUM(AE246) - SUM(AI246) &amp; " meses " &amp; DATEDIF(P246,Q246,"md") + DATEDIF(T246,U246,"md") + DATEDIF(V246,W246,"md") - SUM(AJ246) &amp; " días"</f>
        <v>#VALUE!</v>
      </c>
      <c r="G246" s="77">
        <v>1</v>
      </c>
      <c r="H246" s="78" t="e">
        <f t="shared" si="39"/>
        <v>#VALUE!</v>
      </c>
      <c r="I246" s="78" t="e">
        <f t="shared" si="40"/>
        <v>#VALUE!</v>
      </c>
      <c r="J246" s="75"/>
      <c r="K246" s="79">
        <v>90000</v>
      </c>
      <c r="L246" s="79">
        <f t="shared" si="41"/>
        <v>90000</v>
      </c>
      <c r="M246" s="76"/>
      <c r="N246" s="75" t="s">
        <v>42</v>
      </c>
      <c r="O246" s="80" t="s">
        <v>1557</v>
      </c>
      <c r="P246" s="81">
        <v>30787</v>
      </c>
      <c r="Q246" s="80" t="s">
        <v>1958</v>
      </c>
      <c r="R246" s="81"/>
      <c r="S246" s="81">
        <v>42427</v>
      </c>
      <c r="T246" s="81"/>
      <c r="U246" s="81"/>
      <c r="V246" s="76"/>
      <c r="W246" s="76"/>
      <c r="X246" s="5" t="s">
        <v>894</v>
      </c>
      <c r="Y246" s="5"/>
      <c r="Z246" s="76" t="s">
        <v>899</v>
      </c>
      <c r="AA246" s="82" t="s">
        <v>36</v>
      </c>
      <c r="AB246" s="83" t="s">
        <v>37</v>
      </c>
      <c r="AC246" s="84"/>
      <c r="AD246" s="76"/>
      <c r="AE246" s="76"/>
      <c r="AF246" s="76"/>
      <c r="AG246" s="84"/>
      <c r="AH246" s="76"/>
      <c r="AI246" s="76"/>
      <c r="AJ246" s="76"/>
      <c r="AK246" s="84"/>
      <c r="AL246" s="84"/>
      <c r="AM246" s="84"/>
      <c r="AN246" s="84"/>
      <c r="AO246" s="84"/>
    </row>
    <row r="247" spans="1:41" s="1" customFormat="1" ht="45" customHeight="1" x14ac:dyDescent="0.2">
      <c r="A247" s="75">
        <v>6</v>
      </c>
      <c r="B247" s="75"/>
      <c r="C247" s="76" t="s">
        <v>341</v>
      </c>
      <c r="D247" s="76" t="s">
        <v>1558</v>
      </c>
      <c r="E247" s="75" t="s">
        <v>1559</v>
      </c>
      <c r="F247" s="75" t="e">
        <f>DATEDIF(P247,Q247,"y") + DATEDIF(T247,U247,"y") + DATEDIF(V247,W247,"y") + SUM(AD247) &amp; " años " &amp; DATEDIF(P247,Q247,"ym") + DATEDIF(T247,U247,"ym") + DATEDIF(V247,W247,"ym") + SUM(AE247) - SUM(AI247) &amp; " meses " &amp; DATEDIF(P247,Q247,"md") + DATEDIF(T247,U247,"md") + DATEDIF(V247,W247,"md") - SUM(AJ247) &amp; " días"</f>
        <v>#VALUE!</v>
      </c>
      <c r="G247" s="77">
        <v>1</v>
      </c>
      <c r="H247" s="78" t="e">
        <f t="shared" si="39"/>
        <v>#VALUE!</v>
      </c>
      <c r="I247" s="78" t="e">
        <f t="shared" si="40"/>
        <v>#VALUE!</v>
      </c>
      <c r="J247" s="75" t="s">
        <v>13</v>
      </c>
      <c r="K247" s="79">
        <v>120000</v>
      </c>
      <c r="L247" s="79">
        <f t="shared" si="41"/>
        <v>120000</v>
      </c>
      <c r="M247" s="76"/>
      <c r="N247" s="75" t="s">
        <v>42</v>
      </c>
      <c r="O247" s="80" t="s">
        <v>1560</v>
      </c>
      <c r="P247" s="81">
        <v>31057</v>
      </c>
      <c r="Q247" s="80" t="s">
        <v>1958</v>
      </c>
      <c r="R247" s="81"/>
      <c r="S247" s="81">
        <v>37681</v>
      </c>
      <c r="T247" s="81"/>
      <c r="U247" s="81"/>
      <c r="V247" s="76"/>
      <c r="W247" s="76"/>
      <c r="X247" s="5" t="s">
        <v>894</v>
      </c>
      <c r="Y247" s="5"/>
      <c r="Z247" s="76" t="s">
        <v>899</v>
      </c>
      <c r="AA247" s="82" t="s">
        <v>36</v>
      </c>
      <c r="AB247" s="83" t="s">
        <v>37</v>
      </c>
      <c r="AC247" s="84"/>
      <c r="AD247" s="76"/>
      <c r="AE247" s="76"/>
      <c r="AF247" s="76"/>
      <c r="AG247" s="84"/>
      <c r="AH247" s="76"/>
      <c r="AI247" s="76"/>
      <c r="AJ247" s="76"/>
      <c r="AK247" s="84"/>
      <c r="AL247" s="84"/>
      <c r="AM247" s="84"/>
      <c r="AN247" s="84"/>
      <c r="AO247" s="84"/>
    </row>
    <row r="248" spans="1:41" s="1" customFormat="1" ht="45" customHeight="1" x14ac:dyDescent="0.2">
      <c r="A248" s="75">
        <v>7</v>
      </c>
      <c r="B248" s="75"/>
      <c r="C248" s="76" t="s">
        <v>341</v>
      </c>
      <c r="D248" s="76" t="s">
        <v>1561</v>
      </c>
      <c r="E248" s="75" t="s">
        <v>1562</v>
      </c>
      <c r="F248" s="75" t="e">
        <f t="shared" ref="F248" si="42">DATEDIF(P248,Q248,"y") + DATEDIF(T248,U248,"y") + DATEDIF(V248,W248,"y") + SUM(AD248) &amp; " años " &amp; DATEDIF(P248,Q248,"ym") + DATEDIF(T248,U248,"ym") + DATEDIF(V248,W248,"ym") + SUM(AE248) - SUM(AI248) &amp; " meses " &amp; DATEDIF(P248,Q248,"md") + DATEDIF(T248,U248,"md") + DATEDIF(V248,W248,"md") - SUM(AJ248) &amp; " días"</f>
        <v>#VALUE!</v>
      </c>
      <c r="G248" s="77">
        <v>1</v>
      </c>
      <c r="H248" s="78" t="e">
        <f t="shared" si="39"/>
        <v>#VALUE!</v>
      </c>
      <c r="I248" s="78" t="e">
        <f t="shared" si="40"/>
        <v>#VALUE!</v>
      </c>
      <c r="J248" s="75"/>
      <c r="K248" s="79">
        <v>90000</v>
      </c>
      <c r="L248" s="79">
        <f t="shared" si="41"/>
        <v>90000</v>
      </c>
      <c r="M248" s="76"/>
      <c r="N248" s="75" t="s">
        <v>42</v>
      </c>
      <c r="O248" s="80" t="s">
        <v>1563</v>
      </c>
      <c r="P248" s="81">
        <v>32295</v>
      </c>
      <c r="Q248" s="80" t="s">
        <v>1959</v>
      </c>
      <c r="R248" s="81"/>
      <c r="S248" s="81">
        <v>42062</v>
      </c>
      <c r="T248" s="81"/>
      <c r="U248" s="81"/>
      <c r="V248" s="76"/>
      <c r="W248" s="76"/>
      <c r="X248" s="5"/>
      <c r="Y248" s="5"/>
      <c r="Z248" s="76" t="s">
        <v>899</v>
      </c>
      <c r="AA248" s="82" t="s">
        <v>36</v>
      </c>
      <c r="AB248" s="83" t="s">
        <v>37</v>
      </c>
      <c r="AC248" s="84"/>
      <c r="AD248" s="76"/>
      <c r="AE248" s="76"/>
      <c r="AF248" s="76"/>
      <c r="AG248" s="84"/>
      <c r="AH248" s="76"/>
      <c r="AI248" s="76"/>
      <c r="AJ248" s="76"/>
      <c r="AK248" s="84"/>
      <c r="AL248" s="84"/>
      <c r="AM248" s="84"/>
      <c r="AN248" s="84"/>
      <c r="AO248" s="84"/>
    </row>
    <row r="249" spans="1:41" s="1" customFormat="1" ht="45" customHeight="1" x14ac:dyDescent="0.2">
      <c r="A249" s="75">
        <v>8</v>
      </c>
      <c r="B249" s="75"/>
      <c r="C249" s="76" t="s">
        <v>341</v>
      </c>
      <c r="D249" s="76" t="s">
        <v>1564</v>
      </c>
      <c r="E249" s="75" t="s">
        <v>1565</v>
      </c>
      <c r="F249" s="75" t="e">
        <f t="shared" ref="F249:F254" si="43">DATEDIF(P249,Q249,"y") + DATEDIF(T249,U249,"y") + DATEDIF(V249,W249,"y") + SUM(AD249) &amp; " años " &amp; DATEDIF(P249,Q249,"ym") + DATEDIF(T249,U249,"ym") + DATEDIF(V249,W249,"ym") + SUM(AE249) - SUM(AI249) &amp; " meses " &amp; DATEDIF(P249,Q249,"md") + DATEDIF(T249,U249,"md") + DATEDIF(V249,W249,"md") - SUM(AJ249) &amp; " días"</f>
        <v>#VALUE!</v>
      </c>
      <c r="G249" s="77">
        <v>1</v>
      </c>
      <c r="H249" s="78" t="e">
        <f t="shared" si="39"/>
        <v>#VALUE!</v>
      </c>
      <c r="I249" s="78" t="e">
        <f t="shared" si="40"/>
        <v>#VALUE!</v>
      </c>
      <c r="J249" s="75"/>
      <c r="K249" s="79">
        <f>50275.72+25000</f>
        <v>75275.72</v>
      </c>
      <c r="L249" s="79">
        <f t="shared" si="41"/>
        <v>75275.72</v>
      </c>
      <c r="M249" s="76"/>
      <c r="N249" s="75" t="s">
        <v>42</v>
      </c>
      <c r="O249" s="80" t="s">
        <v>1566</v>
      </c>
      <c r="P249" s="81">
        <v>31990</v>
      </c>
      <c r="Q249" s="80" t="s">
        <v>336</v>
      </c>
      <c r="R249" s="81"/>
      <c r="S249" s="81">
        <v>43523</v>
      </c>
      <c r="T249" s="81"/>
      <c r="U249" s="81"/>
      <c r="V249" s="76"/>
      <c r="W249" s="76"/>
      <c r="X249" s="5"/>
      <c r="Y249" s="5"/>
      <c r="Z249" s="76" t="s">
        <v>1032</v>
      </c>
      <c r="AA249" s="82" t="s">
        <v>36</v>
      </c>
      <c r="AB249" s="83" t="s">
        <v>37</v>
      </c>
      <c r="AC249" s="84"/>
      <c r="AD249" s="76"/>
      <c r="AE249" s="76"/>
      <c r="AF249" s="76"/>
      <c r="AG249" s="84"/>
      <c r="AH249" s="76"/>
      <c r="AI249" s="76"/>
      <c r="AJ249" s="76"/>
      <c r="AK249" s="84"/>
      <c r="AL249" s="84"/>
      <c r="AM249" s="84"/>
      <c r="AN249" s="84"/>
      <c r="AO249" s="84"/>
    </row>
    <row r="250" spans="1:41" s="1" customFormat="1" ht="45" customHeight="1" x14ac:dyDescent="0.2">
      <c r="A250" s="75">
        <v>9</v>
      </c>
      <c r="B250" s="75"/>
      <c r="C250" s="76" t="s">
        <v>341</v>
      </c>
      <c r="D250" s="76" t="s">
        <v>1567</v>
      </c>
      <c r="E250" s="75" t="s">
        <v>1568</v>
      </c>
      <c r="F250" s="75" t="e">
        <f t="shared" si="43"/>
        <v>#VALUE!</v>
      </c>
      <c r="G250" s="85">
        <v>0.67500000000000004</v>
      </c>
      <c r="H250" s="78" t="e">
        <f t="shared" si="39"/>
        <v>#VALUE!</v>
      </c>
      <c r="I250" s="78" t="e">
        <f t="shared" si="40"/>
        <v>#VALUE!</v>
      </c>
      <c r="J250" s="75"/>
      <c r="K250" s="79">
        <v>120000</v>
      </c>
      <c r="L250" s="79">
        <f t="shared" si="41"/>
        <v>81000</v>
      </c>
      <c r="M250" s="76"/>
      <c r="N250" s="75" t="s">
        <v>42</v>
      </c>
      <c r="O250" s="80" t="s">
        <v>1569</v>
      </c>
      <c r="P250" s="81">
        <v>36951</v>
      </c>
      <c r="Q250" s="80" t="s">
        <v>336</v>
      </c>
      <c r="R250" s="81"/>
      <c r="S250" s="81">
        <v>43523</v>
      </c>
      <c r="T250" s="84"/>
      <c r="U250" s="81"/>
      <c r="V250" s="76"/>
      <c r="W250" s="76"/>
      <c r="X250" s="5"/>
      <c r="Y250" s="5"/>
      <c r="Z250" s="76" t="s">
        <v>129</v>
      </c>
      <c r="AA250" s="82" t="s">
        <v>36</v>
      </c>
      <c r="AB250" s="83" t="s">
        <v>37</v>
      </c>
      <c r="AC250" s="84"/>
      <c r="AD250" s="76"/>
      <c r="AE250" s="76"/>
      <c r="AF250" s="76"/>
      <c r="AG250" s="84"/>
      <c r="AH250" s="76"/>
      <c r="AI250" s="76"/>
      <c r="AJ250" s="76"/>
      <c r="AK250" s="84"/>
      <c r="AL250" s="84"/>
      <c r="AM250" s="84"/>
      <c r="AN250" s="84"/>
      <c r="AO250" s="84"/>
    </row>
    <row r="251" spans="1:41" s="1" customFormat="1" ht="45" customHeight="1" x14ac:dyDescent="0.2">
      <c r="A251" s="75">
        <v>10</v>
      </c>
      <c r="B251" s="75"/>
      <c r="C251" s="76" t="s">
        <v>39</v>
      </c>
      <c r="D251" s="76" t="s">
        <v>1570</v>
      </c>
      <c r="E251" s="75" t="s">
        <v>1571</v>
      </c>
      <c r="F251" s="75" t="e">
        <f t="shared" si="43"/>
        <v>#VALUE!</v>
      </c>
      <c r="G251" s="77">
        <v>1</v>
      </c>
      <c r="H251" s="78" t="e">
        <f t="shared" si="39"/>
        <v>#VALUE!</v>
      </c>
      <c r="I251" s="78" t="e">
        <f t="shared" si="40"/>
        <v>#VALUE!</v>
      </c>
      <c r="J251" s="75" t="s">
        <v>13</v>
      </c>
      <c r="K251" s="79">
        <f>42907.52+16000</f>
        <v>58907.519999999997</v>
      </c>
      <c r="L251" s="79">
        <f t="shared" si="41"/>
        <v>58907.519999999997</v>
      </c>
      <c r="M251" s="76"/>
      <c r="N251" s="75" t="s">
        <v>42</v>
      </c>
      <c r="O251" s="80" t="s">
        <v>1572</v>
      </c>
      <c r="P251" s="81">
        <v>31533</v>
      </c>
      <c r="Q251" s="80" t="s">
        <v>336</v>
      </c>
      <c r="R251" s="81"/>
      <c r="S251" s="81">
        <v>40603</v>
      </c>
      <c r="T251" s="81"/>
      <c r="U251" s="81"/>
      <c r="V251" s="76"/>
      <c r="W251" s="76"/>
      <c r="X251" s="5"/>
      <c r="Y251" s="5"/>
      <c r="Z251" s="76" t="s">
        <v>1032</v>
      </c>
      <c r="AA251" s="82" t="s">
        <v>36</v>
      </c>
      <c r="AB251" s="83" t="s">
        <v>37</v>
      </c>
      <c r="AC251" s="84"/>
      <c r="AD251" s="76"/>
      <c r="AE251" s="76"/>
      <c r="AF251" s="76"/>
      <c r="AG251" s="84"/>
      <c r="AH251" s="76"/>
      <c r="AI251" s="76"/>
      <c r="AJ251" s="76"/>
      <c r="AK251" s="84"/>
      <c r="AL251" s="84"/>
      <c r="AM251" s="84"/>
      <c r="AN251" s="84"/>
      <c r="AO251" s="84"/>
    </row>
    <row r="252" spans="1:41" s="1" customFormat="1" ht="45" customHeight="1" x14ac:dyDescent="0.2">
      <c r="A252" s="75">
        <v>11</v>
      </c>
      <c r="B252" s="75"/>
      <c r="C252" s="76" t="s">
        <v>39</v>
      </c>
      <c r="D252" s="76" t="s">
        <v>1573</v>
      </c>
      <c r="E252" s="75" t="s">
        <v>1574</v>
      </c>
      <c r="F252" s="75" t="e">
        <f t="shared" si="43"/>
        <v>#VALUE!</v>
      </c>
      <c r="G252" s="77">
        <v>0.6</v>
      </c>
      <c r="H252" s="78" t="e">
        <f t="shared" si="39"/>
        <v>#VALUE!</v>
      </c>
      <c r="I252" s="78" t="e">
        <f t="shared" si="40"/>
        <v>#VALUE!</v>
      </c>
      <c r="J252" s="75"/>
      <c r="K252" s="79">
        <v>70000</v>
      </c>
      <c r="L252" s="79">
        <f t="shared" si="41"/>
        <v>42000</v>
      </c>
      <c r="M252" s="76"/>
      <c r="N252" s="75" t="s">
        <v>42</v>
      </c>
      <c r="O252" s="80" t="s">
        <v>1575</v>
      </c>
      <c r="P252" s="81">
        <v>38047</v>
      </c>
      <c r="Q252" s="80" t="s">
        <v>1960</v>
      </c>
      <c r="R252" s="81"/>
      <c r="S252" s="81">
        <v>42062</v>
      </c>
      <c r="T252" s="81"/>
      <c r="U252" s="81"/>
      <c r="V252" s="76"/>
      <c r="W252" s="76"/>
      <c r="X252" s="5" t="s">
        <v>894</v>
      </c>
      <c r="Y252" s="5"/>
      <c r="Z252" s="76" t="s">
        <v>895</v>
      </c>
      <c r="AA252" s="82" t="s">
        <v>36</v>
      </c>
      <c r="AB252" s="83" t="s">
        <v>37</v>
      </c>
      <c r="AC252" s="84"/>
      <c r="AD252" s="76"/>
      <c r="AE252" s="76"/>
      <c r="AF252" s="76"/>
      <c r="AG252" s="84"/>
      <c r="AH252" s="76"/>
      <c r="AI252" s="76"/>
      <c r="AJ252" s="76"/>
      <c r="AK252" s="84"/>
      <c r="AL252" s="84"/>
      <c r="AM252" s="84"/>
      <c r="AN252" s="84"/>
      <c r="AO252" s="84"/>
    </row>
    <row r="253" spans="1:41" s="1" customFormat="1" ht="45" customHeight="1" x14ac:dyDescent="0.2">
      <c r="A253" s="75">
        <v>12</v>
      </c>
      <c r="B253" s="75"/>
      <c r="C253" s="76" t="s">
        <v>39</v>
      </c>
      <c r="D253" s="76" t="s">
        <v>1576</v>
      </c>
      <c r="E253" s="75" t="s">
        <v>1577</v>
      </c>
      <c r="F253" s="75" t="e">
        <f t="shared" si="43"/>
        <v>#VALUE!</v>
      </c>
      <c r="G253" s="77">
        <v>1</v>
      </c>
      <c r="H253" s="78" t="e">
        <f t="shared" si="39"/>
        <v>#VALUE!</v>
      </c>
      <c r="I253" s="78" t="e">
        <f t="shared" si="40"/>
        <v>#VALUE!</v>
      </c>
      <c r="J253" s="75"/>
      <c r="K253" s="79">
        <v>39234.82</v>
      </c>
      <c r="L253" s="79">
        <f t="shared" si="41"/>
        <v>39234.82</v>
      </c>
      <c r="M253" s="76"/>
      <c r="N253" s="75" t="s">
        <v>42</v>
      </c>
      <c r="O253" s="80" t="s">
        <v>1578</v>
      </c>
      <c r="P253" s="81">
        <v>31823</v>
      </c>
      <c r="Q253" s="80" t="s">
        <v>336</v>
      </c>
      <c r="R253" s="81"/>
      <c r="S253" s="81">
        <v>43888</v>
      </c>
      <c r="T253" s="81"/>
      <c r="U253" s="81"/>
      <c r="V253" s="76"/>
      <c r="W253" s="76"/>
      <c r="X253" s="5"/>
      <c r="Y253" s="5"/>
      <c r="Z253" s="76" t="s">
        <v>1032</v>
      </c>
      <c r="AA253" s="82" t="s">
        <v>36</v>
      </c>
      <c r="AB253" s="83" t="s">
        <v>37</v>
      </c>
      <c r="AC253" s="84"/>
      <c r="AD253" s="76"/>
      <c r="AE253" s="76"/>
      <c r="AF253" s="76"/>
      <c r="AG253" s="84"/>
      <c r="AH253" s="76"/>
      <c r="AI253" s="76"/>
      <c r="AJ253" s="76"/>
      <c r="AK253" s="84"/>
      <c r="AL253" s="84"/>
      <c r="AM253" s="84"/>
      <c r="AN253" s="84"/>
      <c r="AO253" s="84"/>
    </row>
    <row r="254" spans="1:41" s="1" customFormat="1" ht="45" customHeight="1" x14ac:dyDescent="0.2">
      <c r="A254" s="75">
        <v>13</v>
      </c>
      <c r="B254" s="75"/>
      <c r="C254" s="76" t="s">
        <v>39</v>
      </c>
      <c r="D254" s="76" t="s">
        <v>1579</v>
      </c>
      <c r="E254" s="75" t="s">
        <v>1580</v>
      </c>
      <c r="F254" s="75" t="e">
        <f t="shared" si="43"/>
        <v>#VALUE!</v>
      </c>
      <c r="G254" s="77">
        <v>1</v>
      </c>
      <c r="H254" s="78" t="e">
        <f t="shared" si="39"/>
        <v>#VALUE!</v>
      </c>
      <c r="I254" s="78" t="e">
        <f t="shared" si="40"/>
        <v>#VALUE!</v>
      </c>
      <c r="J254" s="75"/>
      <c r="K254" s="79">
        <v>60000</v>
      </c>
      <c r="L254" s="79">
        <f t="shared" si="41"/>
        <v>60000</v>
      </c>
      <c r="M254" s="76"/>
      <c r="N254" s="75" t="s">
        <v>42</v>
      </c>
      <c r="O254" s="80" t="s">
        <v>1581</v>
      </c>
      <c r="P254" s="81">
        <v>31990</v>
      </c>
      <c r="Q254" s="80" t="s">
        <v>336</v>
      </c>
      <c r="R254" s="81"/>
      <c r="S254" s="81">
        <v>43888</v>
      </c>
      <c r="T254" s="81"/>
      <c r="U254" s="81"/>
      <c r="V254" s="76"/>
      <c r="W254" s="76"/>
      <c r="X254" s="5"/>
      <c r="Y254" s="5"/>
      <c r="Z254" s="76" t="s">
        <v>1032</v>
      </c>
      <c r="AA254" s="82" t="s">
        <v>36</v>
      </c>
      <c r="AB254" s="83" t="s">
        <v>37</v>
      </c>
      <c r="AC254" s="84"/>
      <c r="AD254" s="76"/>
      <c r="AE254" s="76"/>
      <c r="AF254" s="76"/>
      <c r="AG254" s="84"/>
      <c r="AH254" s="76"/>
      <c r="AI254" s="76"/>
      <c r="AJ254" s="76"/>
      <c r="AK254" s="84"/>
      <c r="AL254" s="84"/>
      <c r="AM254" s="84"/>
      <c r="AN254" s="84"/>
      <c r="AO254" s="84"/>
    </row>
    <row r="255" spans="1:41" s="1" customFormat="1" ht="45" customHeight="1" x14ac:dyDescent="0.2">
      <c r="A255" s="75">
        <v>14</v>
      </c>
      <c r="B255" s="75"/>
      <c r="C255" s="76" t="s">
        <v>39</v>
      </c>
      <c r="D255" s="76" t="s">
        <v>1582</v>
      </c>
      <c r="E255" s="75" t="s">
        <v>1583</v>
      </c>
      <c r="F255" s="75" t="e">
        <f t="shared" ref="F255:F262" si="44">DATEDIF(P255,Q255,"y") + DATEDIF(T255,U255,"y") + DATEDIF(V255,W255,"y") + SUM(Z255) &amp; " años " &amp; DATEDIF(P255,Q255,"ym") + DATEDIF(T255,U255,"ym") + DATEDIF(V255,W255,"ym") + SUM(AA255) - SUM(AE255) &amp; " meses " &amp; DATEDIF(P255,Q255,"md") + DATEDIF(T255,U255,"md") + DATEDIF(V255,W255,"md") - SUM(AF255) &amp; " días"</f>
        <v>#VALUE!</v>
      </c>
      <c r="G255" s="77">
        <v>1</v>
      </c>
      <c r="H255" s="78" t="e">
        <f t="shared" si="39"/>
        <v>#VALUE!</v>
      </c>
      <c r="I255" s="78" t="e">
        <f t="shared" si="40"/>
        <v>#VALUE!</v>
      </c>
      <c r="J255" s="75"/>
      <c r="K255" s="79">
        <v>60000</v>
      </c>
      <c r="L255" s="79">
        <f t="shared" si="41"/>
        <v>60000</v>
      </c>
      <c r="M255" s="76"/>
      <c r="N255" s="75" t="s">
        <v>42</v>
      </c>
      <c r="O255" s="80" t="s">
        <v>1584</v>
      </c>
      <c r="P255" s="81">
        <v>31990</v>
      </c>
      <c r="Q255" s="80" t="s">
        <v>336</v>
      </c>
      <c r="R255" s="81"/>
      <c r="S255" s="81">
        <v>42062</v>
      </c>
      <c r="T255" s="81"/>
      <c r="U255" s="81"/>
      <c r="V255" s="76"/>
      <c r="W255" s="76"/>
      <c r="X255" s="5"/>
      <c r="Y255" s="5"/>
      <c r="Z255" s="76" t="s">
        <v>1032</v>
      </c>
      <c r="AA255" s="82" t="s">
        <v>36</v>
      </c>
      <c r="AB255" s="83" t="s">
        <v>37</v>
      </c>
      <c r="AC255" s="84"/>
      <c r="AD255" s="76"/>
      <c r="AE255" s="76"/>
      <c r="AF255" s="76"/>
      <c r="AG255" s="84"/>
      <c r="AH255" s="76"/>
      <c r="AI255" s="76"/>
      <c r="AJ255" s="76"/>
      <c r="AK255" s="84"/>
      <c r="AL255" s="84"/>
      <c r="AM255" s="84"/>
      <c r="AN255" s="84"/>
      <c r="AO255" s="84"/>
    </row>
    <row r="256" spans="1:41" s="1" customFormat="1" ht="45" customHeight="1" x14ac:dyDescent="0.2">
      <c r="A256" s="75">
        <v>15</v>
      </c>
      <c r="B256" s="75"/>
      <c r="C256" s="76" t="s">
        <v>39</v>
      </c>
      <c r="D256" s="76" t="s">
        <v>1585</v>
      </c>
      <c r="E256" s="75" t="s">
        <v>1586</v>
      </c>
      <c r="F256" s="75" t="e">
        <f t="shared" si="44"/>
        <v>#VALUE!</v>
      </c>
      <c r="G256" s="77">
        <v>1</v>
      </c>
      <c r="H256" s="78" t="e">
        <f t="shared" si="39"/>
        <v>#VALUE!</v>
      </c>
      <c r="I256" s="78" t="e">
        <f t="shared" si="40"/>
        <v>#VALUE!</v>
      </c>
      <c r="J256" s="75"/>
      <c r="K256" s="79">
        <v>42907.519999999997</v>
      </c>
      <c r="L256" s="79">
        <f t="shared" si="41"/>
        <v>42907.519999999997</v>
      </c>
      <c r="M256" s="76"/>
      <c r="N256" s="75" t="s">
        <v>42</v>
      </c>
      <c r="O256" s="80" t="s">
        <v>1587</v>
      </c>
      <c r="P256" s="81">
        <v>31990</v>
      </c>
      <c r="Q256" s="80" t="s">
        <v>336</v>
      </c>
      <c r="R256" s="81"/>
      <c r="S256" s="81">
        <v>43523</v>
      </c>
      <c r="T256" s="81"/>
      <c r="U256" s="81"/>
      <c r="V256" s="76"/>
      <c r="W256" s="76"/>
      <c r="X256" s="5"/>
      <c r="Y256" s="5"/>
      <c r="Z256" s="76" t="s">
        <v>1032</v>
      </c>
      <c r="AA256" s="82" t="s">
        <v>36</v>
      </c>
      <c r="AB256" s="83" t="s">
        <v>37</v>
      </c>
      <c r="AC256" s="84"/>
      <c r="AD256" s="76"/>
      <c r="AE256" s="76"/>
      <c r="AF256" s="76"/>
      <c r="AG256" s="84"/>
      <c r="AH256" s="76"/>
      <c r="AI256" s="76"/>
      <c r="AJ256" s="76"/>
      <c r="AK256" s="84"/>
      <c r="AL256" s="84"/>
      <c r="AM256" s="84"/>
      <c r="AN256" s="84"/>
      <c r="AO256" s="84"/>
    </row>
    <row r="257" spans="1:41" s="1" customFormat="1" ht="45" customHeight="1" x14ac:dyDescent="0.2">
      <c r="A257" s="75">
        <v>16</v>
      </c>
      <c r="B257" s="75"/>
      <c r="C257" s="76" t="s">
        <v>39</v>
      </c>
      <c r="D257" s="76" t="s">
        <v>1588</v>
      </c>
      <c r="E257" s="75" t="s">
        <v>1589</v>
      </c>
      <c r="F257" s="75" t="e">
        <f t="shared" si="44"/>
        <v>#VALUE!</v>
      </c>
      <c r="G257" s="85">
        <v>0.82499999999999996</v>
      </c>
      <c r="H257" s="78" t="e">
        <f t="shared" si="39"/>
        <v>#VALUE!</v>
      </c>
      <c r="I257" s="78" t="e">
        <f t="shared" si="40"/>
        <v>#VALUE!</v>
      </c>
      <c r="J257" s="75"/>
      <c r="K257" s="79">
        <v>70000</v>
      </c>
      <c r="L257" s="79">
        <f t="shared" si="41"/>
        <v>57750</v>
      </c>
      <c r="M257" s="76"/>
      <c r="N257" s="75" t="s">
        <v>42</v>
      </c>
      <c r="O257" s="80" t="s">
        <v>1590</v>
      </c>
      <c r="P257" s="81">
        <v>34943</v>
      </c>
      <c r="Q257" s="80" t="s">
        <v>336</v>
      </c>
      <c r="R257" s="81"/>
      <c r="S257" s="81">
        <v>43523</v>
      </c>
      <c r="T257" s="81"/>
      <c r="U257" s="81"/>
      <c r="V257" s="76"/>
      <c r="W257" s="76"/>
      <c r="X257" s="5"/>
      <c r="Y257" s="5"/>
      <c r="Z257" s="76" t="s">
        <v>1032</v>
      </c>
      <c r="AA257" s="82" t="s">
        <v>36</v>
      </c>
      <c r="AB257" s="83" t="s">
        <v>37</v>
      </c>
      <c r="AC257" s="84"/>
      <c r="AD257" s="76"/>
      <c r="AE257" s="76"/>
      <c r="AF257" s="76"/>
      <c r="AG257" s="84"/>
      <c r="AH257" s="76"/>
      <c r="AI257" s="76"/>
      <c r="AJ257" s="76"/>
      <c r="AK257" s="84"/>
      <c r="AL257" s="84"/>
      <c r="AM257" s="84"/>
      <c r="AN257" s="84"/>
      <c r="AO257" s="84"/>
    </row>
    <row r="258" spans="1:41" s="1" customFormat="1" ht="45" customHeight="1" x14ac:dyDescent="0.2">
      <c r="A258" s="75">
        <v>17</v>
      </c>
      <c r="B258" s="75"/>
      <c r="C258" s="76" t="s">
        <v>39</v>
      </c>
      <c r="D258" s="76" t="s">
        <v>1591</v>
      </c>
      <c r="E258" s="75" t="s">
        <v>1592</v>
      </c>
      <c r="F258" s="75" t="e">
        <f t="shared" si="44"/>
        <v>#VALUE!</v>
      </c>
      <c r="G258" s="77">
        <v>1</v>
      </c>
      <c r="H258" s="78" t="e">
        <f t="shared" si="39"/>
        <v>#VALUE!</v>
      </c>
      <c r="I258" s="78" t="e">
        <f t="shared" si="40"/>
        <v>#VALUE!</v>
      </c>
      <c r="J258" s="75"/>
      <c r="K258" s="79">
        <f>42907.52+16000</f>
        <v>58907.519999999997</v>
      </c>
      <c r="L258" s="79">
        <f t="shared" si="41"/>
        <v>58907.519999999997</v>
      </c>
      <c r="M258" s="76"/>
      <c r="N258" s="75" t="s">
        <v>42</v>
      </c>
      <c r="O258" s="80" t="s">
        <v>1593</v>
      </c>
      <c r="P258" s="81">
        <v>31472</v>
      </c>
      <c r="Q258" s="80" t="s">
        <v>336</v>
      </c>
      <c r="R258" s="81"/>
      <c r="S258" s="81">
        <v>42427</v>
      </c>
      <c r="T258" s="81"/>
      <c r="U258" s="81"/>
      <c r="V258" s="76"/>
      <c r="W258" s="76"/>
      <c r="X258" s="5"/>
      <c r="Y258" s="5"/>
      <c r="Z258" s="76" t="s">
        <v>1032</v>
      </c>
      <c r="AA258" s="82" t="s">
        <v>36</v>
      </c>
      <c r="AB258" s="83" t="s">
        <v>37</v>
      </c>
      <c r="AC258" s="84"/>
      <c r="AD258" s="76"/>
      <c r="AE258" s="76"/>
      <c r="AF258" s="76"/>
      <c r="AG258" s="84"/>
      <c r="AH258" s="76"/>
      <c r="AI258" s="76"/>
      <c r="AJ258" s="76"/>
      <c r="AK258" s="84"/>
      <c r="AL258" s="84"/>
      <c r="AM258" s="84"/>
      <c r="AN258" s="84"/>
      <c r="AO258" s="84"/>
    </row>
    <row r="259" spans="1:41" s="1" customFormat="1" ht="45" customHeight="1" x14ac:dyDescent="0.2">
      <c r="A259" s="75">
        <v>18</v>
      </c>
      <c r="B259" s="75"/>
      <c r="C259" s="76" t="s">
        <v>39</v>
      </c>
      <c r="D259" s="76" t="s">
        <v>1594</v>
      </c>
      <c r="E259" s="75" t="s">
        <v>1595</v>
      </c>
      <c r="F259" s="75" t="e">
        <f t="shared" si="44"/>
        <v>#VALUE!</v>
      </c>
      <c r="G259" s="77">
        <v>1</v>
      </c>
      <c r="H259" s="78" t="e">
        <f t="shared" si="39"/>
        <v>#VALUE!</v>
      </c>
      <c r="I259" s="78" t="e">
        <f t="shared" si="40"/>
        <v>#VALUE!</v>
      </c>
      <c r="J259" s="75"/>
      <c r="K259" s="79">
        <v>39234.82</v>
      </c>
      <c r="L259" s="79">
        <f t="shared" si="41"/>
        <v>39234.82</v>
      </c>
      <c r="M259" s="76"/>
      <c r="N259" s="75" t="s">
        <v>42</v>
      </c>
      <c r="O259" s="80" t="s">
        <v>1596</v>
      </c>
      <c r="P259" s="81">
        <v>31503</v>
      </c>
      <c r="Q259" s="80" t="s">
        <v>336</v>
      </c>
      <c r="R259" s="81"/>
      <c r="S259" s="81">
        <v>43888</v>
      </c>
      <c r="T259" s="81"/>
      <c r="U259" s="81"/>
      <c r="V259" s="76"/>
      <c r="W259" s="76"/>
      <c r="X259" s="5"/>
      <c r="Y259" s="5"/>
      <c r="Z259" s="76" t="s">
        <v>1032</v>
      </c>
      <c r="AA259" s="82" t="s">
        <v>36</v>
      </c>
      <c r="AB259" s="83" t="s">
        <v>37</v>
      </c>
      <c r="AC259" s="84"/>
      <c r="AD259" s="76"/>
      <c r="AE259" s="76"/>
      <c r="AF259" s="76"/>
      <c r="AG259" s="84"/>
      <c r="AH259" s="76"/>
      <c r="AI259" s="76"/>
      <c r="AJ259" s="76"/>
      <c r="AK259" s="84"/>
      <c r="AL259" s="84"/>
      <c r="AM259" s="84"/>
      <c r="AN259" s="84"/>
      <c r="AO259" s="84"/>
    </row>
    <row r="260" spans="1:41" s="1" customFormat="1" ht="45" customHeight="1" x14ac:dyDescent="0.2">
      <c r="A260" s="75">
        <v>19</v>
      </c>
      <c r="B260" s="75"/>
      <c r="C260" s="76" t="s">
        <v>39</v>
      </c>
      <c r="D260" s="76" t="s">
        <v>1597</v>
      </c>
      <c r="E260" s="75" t="s">
        <v>1598</v>
      </c>
      <c r="F260" s="75" t="e">
        <f t="shared" si="44"/>
        <v>#VALUE!</v>
      </c>
      <c r="G260" s="77">
        <v>0.91</v>
      </c>
      <c r="H260" s="78" t="e">
        <f t="shared" si="39"/>
        <v>#VALUE!</v>
      </c>
      <c r="I260" s="78" t="e">
        <f t="shared" si="40"/>
        <v>#VALUE!</v>
      </c>
      <c r="J260" s="75"/>
      <c r="K260" s="79">
        <v>39234.81</v>
      </c>
      <c r="L260" s="79">
        <f t="shared" si="41"/>
        <v>35703.677100000001</v>
      </c>
      <c r="M260" s="76"/>
      <c r="N260" s="75" t="s">
        <v>42</v>
      </c>
      <c r="O260" s="80" t="s">
        <v>1599</v>
      </c>
      <c r="P260" s="81">
        <v>33496</v>
      </c>
      <c r="Q260" s="80" t="s">
        <v>1959</v>
      </c>
      <c r="R260" s="81"/>
      <c r="S260" s="81">
        <v>44984</v>
      </c>
      <c r="T260" s="81"/>
      <c r="U260" s="81"/>
      <c r="V260" s="76"/>
      <c r="W260" s="76"/>
      <c r="X260" s="5"/>
      <c r="Y260" s="5"/>
      <c r="Z260" s="76" t="s">
        <v>899</v>
      </c>
      <c r="AA260" s="82" t="s">
        <v>36</v>
      </c>
      <c r="AB260" s="83" t="s">
        <v>37</v>
      </c>
      <c r="AC260" s="84"/>
      <c r="AD260" s="76"/>
      <c r="AE260" s="76"/>
      <c r="AF260" s="76"/>
      <c r="AG260" s="84"/>
      <c r="AH260" s="76"/>
      <c r="AI260" s="76"/>
      <c r="AJ260" s="76"/>
      <c r="AK260" s="84"/>
      <c r="AL260" s="84"/>
      <c r="AM260" s="84"/>
      <c r="AN260" s="84"/>
      <c r="AO260" s="84"/>
    </row>
    <row r="261" spans="1:41" s="1" customFormat="1" ht="45" customHeight="1" x14ac:dyDescent="0.2">
      <c r="A261" s="75">
        <v>20</v>
      </c>
      <c r="B261" s="75"/>
      <c r="C261" s="76" t="s">
        <v>39</v>
      </c>
      <c r="D261" s="76" t="s">
        <v>1600</v>
      </c>
      <c r="E261" s="75" t="s">
        <v>1601</v>
      </c>
      <c r="F261" s="75" t="e">
        <f t="shared" si="44"/>
        <v>#VALUE!</v>
      </c>
      <c r="G261" s="77">
        <v>0.85</v>
      </c>
      <c r="H261" s="78" t="e">
        <f t="shared" si="39"/>
        <v>#VALUE!</v>
      </c>
      <c r="I261" s="78" t="e">
        <f t="shared" si="40"/>
        <v>#VALUE!</v>
      </c>
      <c r="J261" s="75"/>
      <c r="K261" s="79">
        <v>70000</v>
      </c>
      <c r="L261" s="79">
        <f t="shared" si="41"/>
        <v>59500</v>
      </c>
      <c r="M261" s="76"/>
      <c r="N261" s="75" t="s">
        <v>42</v>
      </c>
      <c r="O261" s="80" t="s">
        <v>1602</v>
      </c>
      <c r="P261" s="81">
        <v>34392</v>
      </c>
      <c r="Q261" s="80" t="s">
        <v>1961</v>
      </c>
      <c r="R261" s="81"/>
      <c r="S261" s="81">
        <v>41699</v>
      </c>
      <c r="T261" s="81"/>
      <c r="U261" s="81"/>
      <c r="V261" s="76"/>
      <c r="W261" s="76"/>
      <c r="X261" s="5"/>
      <c r="Y261" s="5"/>
      <c r="Z261" s="76" t="s">
        <v>899</v>
      </c>
      <c r="AA261" s="82" t="s">
        <v>36</v>
      </c>
      <c r="AB261" s="83" t="s">
        <v>37</v>
      </c>
      <c r="AC261" s="84"/>
      <c r="AD261" s="76"/>
      <c r="AE261" s="76"/>
      <c r="AF261" s="76"/>
      <c r="AG261" s="84"/>
      <c r="AH261" s="76"/>
      <c r="AI261" s="76"/>
      <c r="AJ261" s="76"/>
      <c r="AK261" s="84"/>
      <c r="AL261" s="84"/>
      <c r="AM261" s="84"/>
      <c r="AN261" s="84"/>
      <c r="AO261" s="84"/>
    </row>
    <row r="262" spans="1:41" s="1" customFormat="1" ht="45" customHeight="1" x14ac:dyDescent="0.2">
      <c r="A262" s="75">
        <v>21</v>
      </c>
      <c r="B262" s="75"/>
      <c r="C262" s="76" t="s">
        <v>39</v>
      </c>
      <c r="D262" s="76" t="s">
        <v>1603</v>
      </c>
      <c r="E262" s="75" t="s">
        <v>1604</v>
      </c>
      <c r="F262" s="75" t="e">
        <f t="shared" si="44"/>
        <v>#VALUE!</v>
      </c>
      <c r="G262" s="77">
        <v>1</v>
      </c>
      <c r="H262" s="78" t="e">
        <f t="shared" si="39"/>
        <v>#VALUE!</v>
      </c>
      <c r="I262" s="78" t="e">
        <f t="shared" si="40"/>
        <v>#VALUE!</v>
      </c>
      <c r="J262" s="75" t="s">
        <v>13</v>
      </c>
      <c r="K262" s="79">
        <v>70000</v>
      </c>
      <c r="L262" s="79">
        <f t="shared" si="41"/>
        <v>70000</v>
      </c>
      <c r="M262" s="76"/>
      <c r="N262" s="75" t="s">
        <v>42</v>
      </c>
      <c r="O262" s="80" t="s">
        <v>1605</v>
      </c>
      <c r="P262" s="81">
        <v>32690</v>
      </c>
      <c r="Q262" s="80" t="s">
        <v>1960</v>
      </c>
      <c r="R262" s="81"/>
      <c r="S262" s="81">
        <v>41137</v>
      </c>
      <c r="T262" s="81"/>
      <c r="U262" s="81"/>
      <c r="V262" s="76"/>
      <c r="W262" s="76"/>
      <c r="X262" s="5"/>
      <c r="Y262" s="5"/>
      <c r="Z262" s="76" t="s">
        <v>899</v>
      </c>
      <c r="AA262" s="82" t="s">
        <v>36</v>
      </c>
      <c r="AB262" s="83" t="s">
        <v>37</v>
      </c>
      <c r="AC262" s="84"/>
      <c r="AD262" s="76"/>
      <c r="AE262" s="76"/>
      <c r="AF262" s="76"/>
      <c r="AG262" s="84"/>
      <c r="AH262" s="76"/>
      <c r="AI262" s="76"/>
      <c r="AJ262" s="76"/>
      <c r="AK262" s="84"/>
      <c r="AL262" s="84"/>
      <c r="AM262" s="84"/>
      <c r="AN262" s="84"/>
      <c r="AO262" s="84"/>
    </row>
    <row r="263" spans="1:41" s="1" customFormat="1" ht="45" customHeight="1" x14ac:dyDescent="0.2">
      <c r="A263" s="75">
        <v>22</v>
      </c>
      <c r="B263" s="75"/>
      <c r="C263" s="76" t="s">
        <v>39</v>
      </c>
      <c r="D263" s="76" t="s">
        <v>1606</v>
      </c>
      <c r="E263" s="75" t="s">
        <v>1607</v>
      </c>
      <c r="F263" s="75" t="e">
        <f>DATEDIF(P263,Q263,"y") + DATEDIF(T263,U263,"y") + DATEDIF(V263,W263,"y") + SUM(AD263) &amp; " años " &amp; DATEDIF(P263,Q263,"ym") + DATEDIF(T263,U263,"ym") + DATEDIF(V263,W263,"ym") + SUM(AE263) - SUM(AI263) &amp; " meses " &amp; DATEDIF(P263,Q263,"md") + DATEDIF(T263,U263,"md") + DATEDIF(V263,W263,"md") - SUM(AJ263) &amp; " días"</f>
        <v>#VALUE!</v>
      </c>
      <c r="G263" s="77">
        <v>1</v>
      </c>
      <c r="H263" s="78" t="e">
        <f t="shared" si="39"/>
        <v>#VALUE!</v>
      </c>
      <c r="I263" s="78" t="e">
        <f t="shared" si="40"/>
        <v>#VALUE!</v>
      </c>
      <c r="J263" s="75"/>
      <c r="K263" s="79">
        <v>60000</v>
      </c>
      <c r="L263" s="79">
        <f t="shared" si="41"/>
        <v>60000</v>
      </c>
      <c r="M263" s="76"/>
      <c r="N263" s="75" t="s">
        <v>42</v>
      </c>
      <c r="O263" s="80" t="s">
        <v>1608</v>
      </c>
      <c r="P263" s="81">
        <v>34090</v>
      </c>
      <c r="Q263" s="80" t="s">
        <v>336</v>
      </c>
      <c r="R263" s="81"/>
      <c r="S263" s="81">
        <v>43523</v>
      </c>
      <c r="T263" s="81">
        <v>31321</v>
      </c>
      <c r="U263" s="81">
        <v>32888</v>
      </c>
      <c r="V263" s="76"/>
      <c r="W263" s="76"/>
      <c r="X263" s="5"/>
      <c r="Y263" s="5"/>
      <c r="Z263" s="76" t="s">
        <v>1032</v>
      </c>
      <c r="AA263" s="82" t="s">
        <v>36</v>
      </c>
      <c r="AB263" s="83" t="s">
        <v>37</v>
      </c>
      <c r="AC263" s="84"/>
      <c r="AD263" s="76">
        <v>1</v>
      </c>
      <c r="AE263" s="76"/>
      <c r="AF263" s="76"/>
      <c r="AG263" s="84"/>
      <c r="AH263" s="76"/>
      <c r="AI263" s="76">
        <v>12</v>
      </c>
      <c r="AJ263" s="76"/>
      <c r="AK263" s="84"/>
      <c r="AL263" s="84"/>
      <c r="AM263" s="84"/>
      <c r="AN263" s="84"/>
      <c r="AO263" s="84"/>
    </row>
    <row r="264" spans="1:41" s="1" customFormat="1" ht="45" customHeight="1" x14ac:dyDescent="0.2">
      <c r="A264" s="75">
        <v>23</v>
      </c>
      <c r="B264" s="75"/>
      <c r="C264" s="76" t="s">
        <v>49</v>
      </c>
      <c r="D264" s="76" t="s">
        <v>1609</v>
      </c>
      <c r="E264" s="75" t="s">
        <v>1610</v>
      </c>
      <c r="F264" s="75" t="e">
        <f>DATEDIF(P264,Q264,"y") + DATEDIF(T264,U264,"y") + DATEDIF(V264,W264,"y") + SUM(AD264) &amp; " años " &amp; DATEDIF(P264,Q264,"ym") + DATEDIF(T264,U264,"ym") + DATEDIF(V264,W264,"ym") + SUM(AE264) - SUM(AI264) &amp; " meses " &amp; DATEDIF(P264,Q264,"md") + DATEDIF(T264,U264,"md") + DATEDIF(V264,W264,"md") - SUM(AJ264) &amp; " días"</f>
        <v>#VALUE!</v>
      </c>
      <c r="G264" s="77">
        <v>1</v>
      </c>
      <c r="H264" s="78" t="e">
        <f t="shared" si="39"/>
        <v>#VALUE!</v>
      </c>
      <c r="I264" s="78" t="e">
        <f t="shared" si="40"/>
        <v>#VALUE!</v>
      </c>
      <c r="J264" s="75"/>
      <c r="K264" s="79">
        <v>39234.82</v>
      </c>
      <c r="L264" s="79">
        <f t="shared" si="41"/>
        <v>39234.82</v>
      </c>
      <c r="M264" s="76"/>
      <c r="N264" s="75" t="s">
        <v>42</v>
      </c>
      <c r="O264" s="80" t="s">
        <v>1611</v>
      </c>
      <c r="P264" s="81">
        <v>31472</v>
      </c>
      <c r="Q264" s="80" t="s">
        <v>336</v>
      </c>
      <c r="R264" s="81"/>
      <c r="S264" s="81">
        <v>42427</v>
      </c>
      <c r="T264" s="81"/>
      <c r="U264" s="81"/>
      <c r="V264" s="76"/>
      <c r="W264" s="76"/>
      <c r="X264" s="5"/>
      <c r="Y264" s="5"/>
      <c r="Z264" s="76" t="s">
        <v>1032</v>
      </c>
      <c r="AA264" s="82" t="s">
        <v>36</v>
      </c>
      <c r="AB264" s="83" t="s">
        <v>37</v>
      </c>
      <c r="AC264" s="84"/>
      <c r="AD264" s="76"/>
      <c r="AE264" s="76"/>
      <c r="AF264" s="76"/>
      <c r="AG264" s="84"/>
      <c r="AH264" s="76"/>
      <c r="AI264" s="76"/>
      <c r="AJ264" s="76"/>
      <c r="AK264" s="84"/>
      <c r="AL264" s="84"/>
      <c r="AM264" s="84"/>
      <c r="AN264" s="84"/>
      <c r="AO264" s="84"/>
    </row>
    <row r="265" spans="1:41" s="1" customFormat="1" ht="45" customHeight="1" x14ac:dyDescent="0.2">
      <c r="A265" s="75">
        <v>24</v>
      </c>
      <c r="B265" s="75"/>
      <c r="C265" s="76" t="s">
        <v>49</v>
      </c>
      <c r="D265" s="76" t="s">
        <v>1612</v>
      </c>
      <c r="E265" s="75" t="s">
        <v>1613</v>
      </c>
      <c r="F265" s="75" t="e">
        <f>DATEDIF(P265,Q265,"y") + DATEDIF(T265,U265,"y") + DATEDIF(V265,W265,"y") + SUM(AD265) &amp; " años " &amp; DATEDIF(P265,Q265,"ym") + DATEDIF(T265,U265,"ym") + DATEDIF(V265,W265,"ym") + SUM(AE265) - SUM(AI265) &amp; " meses " &amp; DATEDIF(P265,Q265,"md") + DATEDIF(T265,U265,"md") + DATEDIF(V265,W265,"md") - SUM(AJ265) &amp; " días"</f>
        <v>#VALUE!</v>
      </c>
      <c r="G265" s="77">
        <v>1</v>
      </c>
      <c r="H265" s="78" t="e">
        <f t="shared" si="39"/>
        <v>#VALUE!</v>
      </c>
      <c r="I265" s="78" t="e">
        <f t="shared" si="40"/>
        <v>#VALUE!</v>
      </c>
      <c r="J265" s="75"/>
      <c r="K265" s="79">
        <v>39234.82</v>
      </c>
      <c r="L265" s="79">
        <f t="shared" si="41"/>
        <v>39234.82</v>
      </c>
      <c r="M265" s="76"/>
      <c r="N265" s="75" t="s">
        <v>42</v>
      </c>
      <c r="O265" s="80" t="s">
        <v>1614</v>
      </c>
      <c r="P265" s="81">
        <v>31990</v>
      </c>
      <c r="Q265" s="80" t="s">
        <v>336</v>
      </c>
      <c r="R265" s="81"/>
      <c r="S265" s="81">
        <v>43160</v>
      </c>
      <c r="T265" s="81"/>
      <c r="U265" s="81"/>
      <c r="V265" s="76"/>
      <c r="W265" s="76"/>
      <c r="X265" s="5"/>
      <c r="Y265" s="5"/>
      <c r="Z265" s="76" t="s">
        <v>1032</v>
      </c>
      <c r="AA265" s="82" t="s">
        <v>36</v>
      </c>
      <c r="AB265" s="83" t="s">
        <v>37</v>
      </c>
      <c r="AC265" s="84"/>
      <c r="AD265" s="76"/>
      <c r="AE265" s="76"/>
      <c r="AF265" s="76"/>
      <c r="AG265" s="84"/>
      <c r="AH265" s="76"/>
      <c r="AI265" s="76"/>
      <c r="AJ265" s="76"/>
      <c r="AK265" s="84"/>
      <c r="AL265" s="84"/>
      <c r="AM265" s="84"/>
      <c r="AN265" s="84"/>
      <c r="AO265" s="84"/>
    </row>
    <row r="266" spans="1:41" s="1" customFormat="1" ht="45" customHeight="1" x14ac:dyDescent="0.2">
      <c r="A266" s="75">
        <v>25</v>
      </c>
      <c r="B266" s="75"/>
      <c r="C266" s="76" t="s">
        <v>49</v>
      </c>
      <c r="D266" s="76" t="s">
        <v>1615</v>
      </c>
      <c r="E266" s="75" t="s">
        <v>1616</v>
      </c>
      <c r="F266" s="75" t="e">
        <f>DATEDIF(P266,Q266,"y") + DATEDIF(T266,U266,"y") + DATEDIF(V266,W266,"y") + SUM(Z266) &amp; " años " &amp; DATEDIF(P266,Q266,"ym") + DATEDIF(T266,U266,"ym") + DATEDIF(V266,W266,"ym") + SUM(AA266) - SUM(AE266) &amp; " meses " &amp; DATEDIF(P266,Q266,"md") + DATEDIF(T266,U266,"md") + DATEDIF(V266,W266,"md") - SUM(AF266) &amp; " días"</f>
        <v>#VALUE!</v>
      </c>
      <c r="G266" s="77">
        <v>1</v>
      </c>
      <c r="H266" s="78" t="e">
        <f t="shared" si="39"/>
        <v>#VALUE!</v>
      </c>
      <c r="I266" s="78" t="e">
        <f t="shared" si="40"/>
        <v>#VALUE!</v>
      </c>
      <c r="J266" s="75"/>
      <c r="K266" s="79">
        <v>60000</v>
      </c>
      <c r="L266" s="79">
        <f t="shared" si="41"/>
        <v>60000</v>
      </c>
      <c r="M266" s="76"/>
      <c r="N266" s="75" t="s">
        <v>42</v>
      </c>
      <c r="O266" s="80" t="s">
        <v>1617</v>
      </c>
      <c r="P266" s="81">
        <v>31990</v>
      </c>
      <c r="Q266" s="80" t="s">
        <v>336</v>
      </c>
      <c r="R266" s="81"/>
      <c r="S266" s="81">
        <v>42062</v>
      </c>
      <c r="T266" s="81"/>
      <c r="U266" s="81"/>
      <c r="V266" s="76"/>
      <c r="W266" s="76"/>
      <c r="X266" s="5" t="s">
        <v>1286</v>
      </c>
      <c r="Y266" s="5"/>
      <c r="Z266" s="76" t="s">
        <v>1032</v>
      </c>
      <c r="AA266" s="82" t="s">
        <v>36</v>
      </c>
      <c r="AB266" s="83" t="s">
        <v>37</v>
      </c>
      <c r="AC266" s="84"/>
      <c r="AD266" s="76"/>
      <c r="AE266" s="76"/>
      <c r="AF266" s="76"/>
      <c r="AG266" s="84"/>
      <c r="AH266" s="76"/>
      <c r="AI266" s="76"/>
      <c r="AJ266" s="76"/>
      <c r="AK266" s="84"/>
      <c r="AL266" s="84"/>
      <c r="AM266" s="84"/>
      <c r="AN266" s="84"/>
      <c r="AO266" s="84"/>
    </row>
    <row r="267" spans="1:41" s="1" customFormat="1" ht="45" customHeight="1" x14ac:dyDescent="0.2">
      <c r="A267" s="75">
        <v>26</v>
      </c>
      <c r="B267" s="75"/>
      <c r="C267" s="76" t="s">
        <v>49</v>
      </c>
      <c r="D267" s="76" t="s">
        <v>1618</v>
      </c>
      <c r="E267" s="75" t="s">
        <v>1619</v>
      </c>
      <c r="F267" s="75" t="e">
        <f>DATEDIF(P267,Q267,"y") + DATEDIF(T267,U267,"y") + DATEDIF(V267,W267,"y") + SUM(Z267) &amp; " años " &amp; DATEDIF(P267,Q267,"ym") + DATEDIF(T267,U267,"ym") + DATEDIF(V267,W267,"ym") + SUM(AA267) - SUM(AE267) &amp; " meses " &amp; DATEDIF(P267,Q267,"md") + DATEDIF(T267,U267,"md") + DATEDIF(V267,W267,"md") - SUM(AF267) &amp; " días"</f>
        <v>#VALUE!</v>
      </c>
      <c r="G267" s="77">
        <v>1</v>
      </c>
      <c r="H267" s="78" t="e">
        <f t="shared" si="39"/>
        <v>#VALUE!</v>
      </c>
      <c r="I267" s="78" t="e">
        <f t="shared" si="40"/>
        <v>#VALUE!</v>
      </c>
      <c r="J267" s="75"/>
      <c r="K267" s="79">
        <v>39234.82</v>
      </c>
      <c r="L267" s="79">
        <f t="shared" si="41"/>
        <v>39234.82</v>
      </c>
      <c r="M267" s="76"/>
      <c r="N267" s="75" t="s">
        <v>42</v>
      </c>
      <c r="O267" s="80" t="s">
        <v>1620</v>
      </c>
      <c r="P267" s="81">
        <v>32599</v>
      </c>
      <c r="Q267" s="80" t="s">
        <v>1960</v>
      </c>
      <c r="R267" s="81"/>
      <c r="S267" s="81">
        <v>42062</v>
      </c>
      <c r="T267" s="81"/>
      <c r="U267" s="81"/>
      <c r="V267" s="76"/>
      <c r="W267" s="76"/>
      <c r="X267" s="5" t="s">
        <v>894</v>
      </c>
      <c r="Y267" s="5"/>
      <c r="Z267" s="76" t="s">
        <v>899</v>
      </c>
      <c r="AA267" s="82" t="s">
        <v>36</v>
      </c>
      <c r="AB267" s="83" t="s">
        <v>37</v>
      </c>
      <c r="AC267" s="84"/>
      <c r="AD267" s="76"/>
      <c r="AE267" s="76"/>
      <c r="AF267" s="76"/>
      <c r="AG267" s="84"/>
      <c r="AH267" s="76"/>
      <c r="AI267" s="76"/>
      <c r="AJ267" s="76"/>
      <c r="AK267" s="84"/>
      <c r="AL267" s="84"/>
      <c r="AM267" s="84"/>
      <c r="AN267" s="84"/>
      <c r="AO267" s="84"/>
    </row>
    <row r="268" spans="1:41" s="1" customFormat="1" ht="45" customHeight="1" x14ac:dyDescent="0.2">
      <c r="A268" s="75">
        <v>27</v>
      </c>
      <c r="B268" s="75"/>
      <c r="C268" s="76" t="s">
        <v>49</v>
      </c>
      <c r="D268" s="76" t="s">
        <v>1621</v>
      </c>
      <c r="E268" s="75" t="s">
        <v>1622</v>
      </c>
      <c r="F268" s="75" t="e">
        <f>DATEDIF(P268,Q268,"y") + DATEDIF(T268,U268,"y") + DATEDIF(V268,W268,"y") + SUM(Z268) &amp; " años " &amp; DATEDIF(P268,Q268,"ym") + DATEDIF(T268,U268,"ym") + DATEDIF(V268,W268,"ym") + SUM(AA268) - SUM(AE268) &amp; " meses " &amp; DATEDIF(P268,Q268,"md") + DATEDIF(T268,U268,"md") + DATEDIF(V268,W268,"md") - SUM(AF268) &amp; " días"</f>
        <v>#VALUE!</v>
      </c>
      <c r="G268" s="77">
        <v>0.6</v>
      </c>
      <c r="H268" s="78" t="e">
        <f t="shared" si="39"/>
        <v>#VALUE!</v>
      </c>
      <c r="I268" s="78" t="e">
        <f t="shared" si="40"/>
        <v>#VALUE!</v>
      </c>
      <c r="J268" s="75"/>
      <c r="K268" s="79">
        <f>39234.82+14000</f>
        <v>53234.82</v>
      </c>
      <c r="L268" s="79">
        <f t="shared" si="41"/>
        <v>31940.892</v>
      </c>
      <c r="M268" s="76"/>
      <c r="N268" s="75" t="s">
        <v>42</v>
      </c>
      <c r="O268" s="80" t="s">
        <v>1623</v>
      </c>
      <c r="P268" s="81">
        <v>37909</v>
      </c>
      <c r="Q268" s="80" t="s">
        <v>336</v>
      </c>
      <c r="R268" s="81"/>
      <c r="S268" s="81">
        <v>43160</v>
      </c>
      <c r="T268" s="81"/>
      <c r="U268" s="81"/>
      <c r="V268" s="76"/>
      <c r="W268" s="76"/>
      <c r="X268" s="5"/>
      <c r="Y268" s="5"/>
      <c r="Z268" s="76" t="s">
        <v>1032</v>
      </c>
      <c r="AA268" s="82" t="s">
        <v>36</v>
      </c>
      <c r="AB268" s="83" t="s">
        <v>37</v>
      </c>
      <c r="AC268" s="84"/>
      <c r="AD268" s="76"/>
      <c r="AE268" s="76"/>
      <c r="AF268" s="76"/>
      <c r="AG268" s="84"/>
      <c r="AH268" s="76"/>
      <c r="AI268" s="76"/>
      <c r="AJ268" s="76"/>
      <c r="AK268" s="84"/>
      <c r="AL268" s="84"/>
      <c r="AM268" s="84"/>
      <c r="AN268" s="84"/>
      <c r="AO268" s="84"/>
    </row>
    <row r="269" spans="1:41" s="1" customFormat="1" ht="45" customHeight="1" x14ac:dyDescent="0.2">
      <c r="A269" s="75">
        <v>28</v>
      </c>
      <c r="B269" s="75"/>
      <c r="C269" s="76" t="s">
        <v>49</v>
      </c>
      <c r="D269" s="76" t="s">
        <v>1624</v>
      </c>
      <c r="E269" s="75" t="s">
        <v>1625</v>
      </c>
      <c r="F269" s="75" t="e">
        <f>DATEDIF(P269,Q269,"y") + DATEDIF(T269,U269,"y") + DATEDIF(V269,W269,"y") + SUM(AD269) &amp; " años " &amp; DATEDIF(P269,Q269,"ym") + DATEDIF(T269,U269,"ym") + DATEDIF(V269,W269,"ym") + SUM(AE269) - SUM(AI269) &amp; " meses " &amp; DATEDIF(P269,Q269,"md") + DATEDIF(T269,U269,"md") + DATEDIF(V269,W269,"md") - SUM(AJ269) &amp; " días"</f>
        <v>#VALUE!</v>
      </c>
      <c r="G269" s="77">
        <v>0.88</v>
      </c>
      <c r="H269" s="78" t="e">
        <f>DATEDIF(R269,Q269,"y") &amp; " años " &amp; DATEDIF(R269,Q269,"ym") &amp; " meses " &amp; DATEDIF(R269,Q269,"md") &amp; " días"</f>
        <v>#VALUE!</v>
      </c>
      <c r="I269" s="78" t="e">
        <f>DATEDIF(S269,Q269,"y") &amp; " años " &amp; DATEDIF(S269,Q269,"ym") &amp; " meses " &amp; DATEDIF(S269,Q269,"md") &amp; " días"</f>
        <v>#VALUE!</v>
      </c>
      <c r="J269" s="75"/>
      <c r="K269" s="79">
        <v>60000</v>
      </c>
      <c r="L269" s="79">
        <f>K269*G269</f>
        <v>52800</v>
      </c>
      <c r="M269" s="76"/>
      <c r="N269" s="75" t="s">
        <v>42</v>
      </c>
      <c r="O269" s="80" t="s">
        <v>1626</v>
      </c>
      <c r="P269" s="81">
        <v>34029</v>
      </c>
      <c r="Q269" s="80" t="s">
        <v>336</v>
      </c>
      <c r="R269" s="81"/>
      <c r="S269" s="81">
        <v>42062</v>
      </c>
      <c r="T269" s="81"/>
      <c r="U269" s="81"/>
      <c r="V269" s="76"/>
      <c r="W269" s="76"/>
      <c r="X269" s="5"/>
      <c r="Y269" s="5"/>
      <c r="Z269" s="76" t="s">
        <v>268</v>
      </c>
      <c r="AA269" s="82" t="s">
        <v>36</v>
      </c>
      <c r="AB269" s="83" t="s">
        <v>37</v>
      </c>
      <c r="AC269" s="84"/>
      <c r="AD269" s="76"/>
      <c r="AE269" s="76"/>
      <c r="AF269" s="76"/>
      <c r="AG269" s="84"/>
      <c r="AH269" s="76"/>
      <c r="AI269" s="76"/>
      <c r="AJ269" s="76"/>
      <c r="AK269" s="84"/>
      <c r="AL269" s="84"/>
      <c r="AM269" s="84"/>
      <c r="AN269" s="84"/>
      <c r="AO269" s="84"/>
    </row>
    <row r="270" spans="1:41" s="1" customFormat="1" ht="45" customHeight="1" x14ac:dyDescent="0.2">
      <c r="A270" s="75">
        <v>29</v>
      </c>
      <c r="B270" s="75"/>
      <c r="C270" s="76" t="s">
        <v>49</v>
      </c>
      <c r="D270" s="76" t="s">
        <v>1627</v>
      </c>
      <c r="E270" s="75" t="s">
        <v>1628</v>
      </c>
      <c r="F270" s="75" t="e">
        <f>DATEDIF(P270,Q270,"y") + DATEDIF(T270,U270,"y") + DATEDIF(V270,W270,"y") + SUM(Z270) &amp; " años " &amp; DATEDIF(P270,Q270,"ym") + DATEDIF(T270,U270,"ym") + DATEDIF(V270,W270,"ym") + SUM(AA270) - SUM(AE270) &amp; " meses " &amp; DATEDIF(P270,Q270,"md") + DATEDIF(T270,U270,"md") + DATEDIF(V270,W270,"md") - SUM(AF270) &amp; " días"</f>
        <v>#VALUE!</v>
      </c>
      <c r="G270" s="77">
        <v>1</v>
      </c>
      <c r="H270" s="78" t="e">
        <f t="shared" si="39"/>
        <v>#VALUE!</v>
      </c>
      <c r="I270" s="78" t="e">
        <f t="shared" si="40"/>
        <v>#VALUE!</v>
      </c>
      <c r="J270" s="75"/>
      <c r="K270" s="79">
        <v>70000</v>
      </c>
      <c r="L270" s="79">
        <f t="shared" si="41"/>
        <v>70000</v>
      </c>
      <c r="M270" s="76"/>
      <c r="N270" s="75" t="s">
        <v>42</v>
      </c>
      <c r="O270" s="80" t="s">
        <v>1629</v>
      </c>
      <c r="P270" s="81">
        <v>31990</v>
      </c>
      <c r="Q270" s="80" t="s">
        <v>336</v>
      </c>
      <c r="R270" s="81"/>
      <c r="S270" s="81">
        <v>42062</v>
      </c>
      <c r="T270" s="81"/>
      <c r="U270" s="81"/>
      <c r="V270" s="76"/>
      <c r="W270" s="76"/>
      <c r="X270" s="5"/>
      <c r="Y270" s="5"/>
      <c r="Z270" s="76" t="s">
        <v>1032</v>
      </c>
      <c r="AA270" s="82" t="s">
        <v>36</v>
      </c>
      <c r="AB270" s="83" t="s">
        <v>37</v>
      </c>
      <c r="AC270" s="84"/>
      <c r="AD270" s="76"/>
      <c r="AE270" s="76"/>
      <c r="AF270" s="76"/>
      <c r="AG270" s="84"/>
      <c r="AH270" s="76"/>
      <c r="AI270" s="76"/>
      <c r="AJ270" s="76"/>
      <c r="AK270" s="84"/>
      <c r="AL270" s="84"/>
      <c r="AM270" s="84"/>
      <c r="AN270" s="84"/>
      <c r="AO270" s="84"/>
    </row>
    <row r="271" spans="1:41" s="1" customFormat="1" ht="45" customHeight="1" x14ac:dyDescent="0.2">
      <c r="A271" s="75">
        <v>30</v>
      </c>
      <c r="B271" s="75"/>
      <c r="C271" s="76" t="s">
        <v>49</v>
      </c>
      <c r="D271" s="76" t="s">
        <v>1630</v>
      </c>
      <c r="E271" s="75" t="s">
        <v>1631</v>
      </c>
      <c r="F271" s="75" t="e">
        <f>DATEDIF(P271,Q271,"y") + DATEDIF(T271,U271,"y") + DATEDIF(V271,W271,"y") + SUM(Z271) &amp; " años " &amp; DATEDIF(P271,Q271,"ym") + DATEDIF(T271,U271,"ym") + DATEDIF(V271,W271,"ym") + SUM(AA271) - SUM(AE271) &amp; " meses " &amp; DATEDIF(P271,Q271,"md") + DATEDIF(T271,U271,"md") + DATEDIF(V271,W271,"md") - SUM(AF271) &amp; " días"</f>
        <v>#VALUE!</v>
      </c>
      <c r="G271" s="77">
        <v>1</v>
      </c>
      <c r="H271" s="78" t="e">
        <f t="shared" si="39"/>
        <v>#VALUE!</v>
      </c>
      <c r="I271" s="78" t="e">
        <f t="shared" si="40"/>
        <v>#VALUE!</v>
      </c>
      <c r="J271" s="75"/>
      <c r="K271" s="79">
        <v>39234.82</v>
      </c>
      <c r="L271" s="79">
        <f t="shared" si="41"/>
        <v>39234.82</v>
      </c>
      <c r="M271" s="76"/>
      <c r="N271" s="75" t="s">
        <v>42</v>
      </c>
      <c r="O271" s="80" t="s">
        <v>1632</v>
      </c>
      <c r="P271" s="81">
        <v>31107</v>
      </c>
      <c r="Q271" s="80" t="s">
        <v>336</v>
      </c>
      <c r="R271" s="81"/>
      <c r="S271" s="81">
        <v>43160</v>
      </c>
      <c r="T271" s="81"/>
      <c r="U271" s="81"/>
      <c r="V271" s="76"/>
      <c r="W271" s="76"/>
      <c r="X271" s="5" t="s">
        <v>1286</v>
      </c>
      <c r="Y271" s="5" t="s">
        <v>1032</v>
      </c>
      <c r="Z271" s="76" t="s">
        <v>1032</v>
      </c>
      <c r="AA271" s="82" t="s">
        <v>36</v>
      </c>
      <c r="AB271" s="83" t="s">
        <v>37</v>
      </c>
      <c r="AC271" s="84"/>
      <c r="AD271" s="76"/>
      <c r="AE271" s="76"/>
      <c r="AF271" s="76"/>
      <c r="AG271" s="84"/>
      <c r="AH271" s="76"/>
      <c r="AI271" s="76"/>
      <c r="AJ271" s="76"/>
      <c r="AK271" s="84"/>
      <c r="AL271" s="84"/>
      <c r="AM271" s="84"/>
      <c r="AN271" s="84"/>
      <c r="AO271" s="84"/>
    </row>
    <row r="272" spans="1:41" s="1" customFormat="1" ht="45" customHeight="1" x14ac:dyDescent="0.2">
      <c r="A272" s="75">
        <v>31</v>
      </c>
      <c r="B272" s="75"/>
      <c r="C272" s="76" t="s">
        <v>49</v>
      </c>
      <c r="D272" s="76" t="s">
        <v>1633</v>
      </c>
      <c r="E272" s="75" t="s">
        <v>1634</v>
      </c>
      <c r="F272" s="75" t="e">
        <f t="shared" ref="F272" si="45">DATEDIF(P272,Q272,"y") + DATEDIF(T272,U272,"y") + DATEDIF(V272,W272,"y") + SUM(AD272) &amp; " años " &amp; DATEDIF(P272,Q272,"ym") + DATEDIF(T272,U272,"ym") + DATEDIF(V272,W272,"ym") + SUM(AE272) - SUM(AI272) &amp; " meses " &amp; DATEDIF(P272,Q272,"md") + DATEDIF(T272,U272,"md") + DATEDIF(V272,W272,"md") - SUM(AJ272) &amp; " días"</f>
        <v>#VALUE!</v>
      </c>
      <c r="G272" s="77">
        <v>1</v>
      </c>
      <c r="H272" s="78" t="e">
        <f t="shared" si="39"/>
        <v>#VALUE!</v>
      </c>
      <c r="I272" s="78" t="e">
        <f t="shared" si="40"/>
        <v>#VALUE!</v>
      </c>
      <c r="J272" s="75"/>
      <c r="K272" s="79">
        <v>60000</v>
      </c>
      <c r="L272" s="79">
        <f t="shared" si="41"/>
        <v>60000</v>
      </c>
      <c r="M272" s="76" t="s">
        <v>1635</v>
      </c>
      <c r="N272" s="75" t="s">
        <v>33</v>
      </c>
      <c r="O272" s="80" t="s">
        <v>1636</v>
      </c>
      <c r="P272" s="81">
        <v>36769</v>
      </c>
      <c r="Q272" s="80" t="s">
        <v>1951</v>
      </c>
      <c r="R272" s="130" t="s">
        <v>1635</v>
      </c>
      <c r="S272" s="81">
        <v>42427</v>
      </c>
      <c r="T272" s="81">
        <v>33970</v>
      </c>
      <c r="U272" s="81">
        <v>35703</v>
      </c>
      <c r="V272" s="81">
        <v>35704</v>
      </c>
      <c r="W272" s="81">
        <v>36770</v>
      </c>
      <c r="X272" s="88">
        <v>33909</v>
      </c>
      <c r="Y272" s="88">
        <v>33970</v>
      </c>
      <c r="Z272" s="76" t="s">
        <v>1032</v>
      </c>
      <c r="AA272" s="82" t="s">
        <v>36</v>
      </c>
      <c r="AB272" s="83" t="s">
        <v>37</v>
      </c>
      <c r="AC272" s="84"/>
      <c r="AD272" s="76">
        <v>1</v>
      </c>
      <c r="AE272" s="76"/>
      <c r="AF272" s="76"/>
      <c r="AG272" s="84"/>
      <c r="AH272" s="76"/>
      <c r="AI272" s="76">
        <v>22</v>
      </c>
      <c r="AJ272" s="76"/>
      <c r="AK272" s="84"/>
      <c r="AL272" s="84"/>
      <c r="AM272" s="84"/>
      <c r="AN272" s="84"/>
      <c r="AO272" s="84"/>
    </row>
    <row r="273" spans="1:41" s="1" customFormat="1" ht="45" customHeight="1" x14ac:dyDescent="0.2">
      <c r="A273" s="75">
        <v>32</v>
      </c>
      <c r="B273" s="75"/>
      <c r="C273" s="76" t="s">
        <v>410</v>
      </c>
      <c r="D273" s="76" t="s">
        <v>1637</v>
      </c>
      <c r="E273" s="75" t="s">
        <v>1638</v>
      </c>
      <c r="F273" s="75" t="e">
        <f t="shared" ref="F273:F289" si="46">DATEDIF(P273,Q273,"y") + DATEDIF(T273,U273,"y") + DATEDIF(V273,W273,"y") + SUM(AD273) &amp; " años " &amp; DATEDIF(P273,Q273,"ym") + DATEDIF(T273,U273,"ym") + DATEDIF(V273,W273,"ym") + SUM(AE273) - SUM(AI273) &amp; " meses " &amp; DATEDIF(P273,Q273,"md") + DATEDIF(T273,U273,"md") + DATEDIF(V273,W273,"md") - SUM(AJ273) &amp; " días"</f>
        <v>#VALUE!</v>
      </c>
      <c r="G273" s="77">
        <v>1</v>
      </c>
      <c r="H273" s="78" t="e">
        <f t="shared" si="39"/>
        <v>#VALUE!</v>
      </c>
      <c r="I273" s="78" t="e">
        <f t="shared" si="40"/>
        <v>#VALUE!</v>
      </c>
      <c r="J273" s="75"/>
      <c r="K273" s="79">
        <f>35615.53</f>
        <v>35615.53</v>
      </c>
      <c r="L273" s="79">
        <f t="shared" si="41"/>
        <v>35615.53</v>
      </c>
      <c r="M273" s="76"/>
      <c r="N273" s="75" t="s">
        <v>42</v>
      </c>
      <c r="O273" s="80" t="s">
        <v>1639</v>
      </c>
      <c r="P273" s="81">
        <v>32380</v>
      </c>
      <c r="Q273" s="80" t="s">
        <v>336</v>
      </c>
      <c r="R273" s="81"/>
      <c r="S273" s="81">
        <v>42062</v>
      </c>
      <c r="T273" s="81"/>
      <c r="U273" s="81"/>
      <c r="V273" s="76"/>
      <c r="W273" s="76"/>
      <c r="X273" s="5"/>
      <c r="Y273" s="5"/>
      <c r="Z273" s="76" t="s">
        <v>1032</v>
      </c>
      <c r="AA273" s="82" t="s">
        <v>36</v>
      </c>
      <c r="AB273" s="83" t="s">
        <v>37</v>
      </c>
      <c r="AC273" s="84"/>
      <c r="AD273" s="76"/>
      <c r="AE273" s="76"/>
      <c r="AF273" s="76"/>
      <c r="AG273" s="84"/>
      <c r="AH273" s="76"/>
      <c r="AI273" s="76"/>
      <c r="AJ273" s="76"/>
      <c r="AK273" s="84"/>
      <c r="AL273" s="84"/>
      <c r="AM273" s="84"/>
      <c r="AN273" s="84"/>
      <c r="AO273" s="84"/>
    </row>
    <row r="274" spans="1:41" s="1" customFormat="1" ht="45" customHeight="1" x14ac:dyDescent="0.2">
      <c r="A274" s="75">
        <v>33</v>
      </c>
      <c r="B274" s="75"/>
      <c r="C274" s="76" t="s">
        <v>410</v>
      </c>
      <c r="D274" s="76" t="s">
        <v>1640</v>
      </c>
      <c r="E274" s="75" t="s">
        <v>1641</v>
      </c>
      <c r="F274" s="75" t="e">
        <f t="shared" si="46"/>
        <v>#VALUE!</v>
      </c>
      <c r="G274" s="77">
        <v>1</v>
      </c>
      <c r="H274" s="78" t="e">
        <f t="shared" si="39"/>
        <v>#VALUE!</v>
      </c>
      <c r="I274" s="78" t="e">
        <f t="shared" si="40"/>
        <v>#VALUE!</v>
      </c>
      <c r="J274" s="75"/>
      <c r="K274" s="79">
        <v>65000</v>
      </c>
      <c r="L274" s="79">
        <f t="shared" si="41"/>
        <v>65000</v>
      </c>
      <c r="M274" s="76"/>
      <c r="N274" s="75" t="s">
        <v>42</v>
      </c>
      <c r="O274" s="80" t="s">
        <v>1642</v>
      </c>
      <c r="P274" s="81">
        <v>32874</v>
      </c>
      <c r="Q274" s="80" t="s">
        <v>336</v>
      </c>
      <c r="R274" s="81"/>
      <c r="S274" s="81">
        <v>42062</v>
      </c>
      <c r="T274" s="81">
        <v>31107</v>
      </c>
      <c r="U274" s="81">
        <v>32874</v>
      </c>
      <c r="V274" s="76"/>
      <c r="W274" s="76"/>
      <c r="X274" s="5"/>
      <c r="Y274" s="5"/>
      <c r="Z274" s="76" t="s">
        <v>1032</v>
      </c>
      <c r="AA274" s="82" t="s">
        <v>36</v>
      </c>
      <c r="AB274" s="83" t="s">
        <v>37</v>
      </c>
      <c r="AC274" s="84"/>
      <c r="AD274" s="76">
        <v>1</v>
      </c>
      <c r="AE274" s="76"/>
      <c r="AF274" s="76"/>
      <c r="AG274" s="84"/>
      <c r="AH274" s="76"/>
      <c r="AI274" s="76">
        <v>12</v>
      </c>
      <c r="AJ274" s="76"/>
      <c r="AK274" s="84"/>
      <c r="AL274" s="84"/>
      <c r="AM274" s="84"/>
      <c r="AN274" s="84"/>
      <c r="AO274" s="84"/>
    </row>
    <row r="275" spans="1:41" s="1" customFormat="1" ht="45" customHeight="1" x14ac:dyDescent="0.2">
      <c r="A275" s="75">
        <v>34</v>
      </c>
      <c r="B275" s="75"/>
      <c r="C275" s="76" t="s">
        <v>410</v>
      </c>
      <c r="D275" s="76" t="s">
        <v>1643</v>
      </c>
      <c r="E275" s="75" t="s">
        <v>1644</v>
      </c>
      <c r="F275" s="75" t="e">
        <f t="shared" si="46"/>
        <v>#VALUE!</v>
      </c>
      <c r="G275" s="77">
        <v>1</v>
      </c>
      <c r="H275" s="78" t="e">
        <f t="shared" si="39"/>
        <v>#VALUE!</v>
      </c>
      <c r="I275" s="78" t="e">
        <f t="shared" si="40"/>
        <v>#VALUE!</v>
      </c>
      <c r="J275" s="75"/>
      <c r="K275" s="79">
        <f>35615.53</f>
        <v>35615.53</v>
      </c>
      <c r="L275" s="79">
        <f t="shared" si="41"/>
        <v>35615.53</v>
      </c>
      <c r="M275" s="76"/>
      <c r="N275" s="75" t="s">
        <v>42</v>
      </c>
      <c r="O275" s="80" t="s">
        <v>1645</v>
      </c>
      <c r="P275" s="81">
        <v>32295</v>
      </c>
      <c r="Q275" s="80" t="s">
        <v>336</v>
      </c>
      <c r="R275" s="81"/>
      <c r="S275" s="81">
        <v>42062</v>
      </c>
      <c r="T275" s="81"/>
      <c r="U275" s="81"/>
      <c r="V275" s="76"/>
      <c r="W275" s="76"/>
      <c r="X275" s="5"/>
      <c r="Y275" s="5"/>
      <c r="Z275" s="76" t="s">
        <v>1032</v>
      </c>
      <c r="AA275" s="82" t="s">
        <v>36</v>
      </c>
      <c r="AB275" s="83" t="s">
        <v>37</v>
      </c>
      <c r="AC275" s="84"/>
      <c r="AD275" s="76"/>
      <c r="AE275" s="76"/>
      <c r="AF275" s="76"/>
      <c r="AG275" s="84"/>
      <c r="AH275" s="76"/>
      <c r="AI275" s="76"/>
      <c r="AJ275" s="76"/>
      <c r="AK275" s="84"/>
      <c r="AL275" s="84"/>
      <c r="AM275" s="84"/>
      <c r="AN275" s="84"/>
      <c r="AO275" s="84"/>
    </row>
    <row r="276" spans="1:41" s="1" customFormat="1" ht="45" customHeight="1" x14ac:dyDescent="0.2">
      <c r="A276" s="75">
        <v>35</v>
      </c>
      <c r="B276" s="75"/>
      <c r="C276" s="76" t="s">
        <v>410</v>
      </c>
      <c r="D276" s="76" t="s">
        <v>1646</v>
      </c>
      <c r="E276" s="75" t="s">
        <v>1647</v>
      </c>
      <c r="F276" s="75" t="e">
        <f t="shared" si="46"/>
        <v>#VALUE!</v>
      </c>
      <c r="G276" s="77">
        <v>1</v>
      </c>
      <c r="H276" s="78" t="e">
        <f t="shared" si="39"/>
        <v>#VALUE!</v>
      </c>
      <c r="I276" s="78" t="e">
        <f t="shared" si="40"/>
        <v>#VALUE!</v>
      </c>
      <c r="J276" s="75"/>
      <c r="K276" s="79">
        <f>35615.53</f>
        <v>35615.53</v>
      </c>
      <c r="L276" s="79">
        <f t="shared" si="41"/>
        <v>35615.53</v>
      </c>
      <c r="M276" s="76"/>
      <c r="N276" s="75" t="s">
        <v>42</v>
      </c>
      <c r="O276" s="80" t="s">
        <v>1648</v>
      </c>
      <c r="P276" s="81">
        <v>32426</v>
      </c>
      <c r="Q276" s="80" t="s">
        <v>336</v>
      </c>
      <c r="R276" s="81"/>
      <c r="S276" s="81">
        <v>42062</v>
      </c>
      <c r="T276" s="81"/>
      <c r="U276" s="81"/>
      <c r="V276" s="76"/>
      <c r="W276" s="76"/>
      <c r="X276" s="5"/>
      <c r="Y276" s="5"/>
      <c r="Z276" s="76" t="s">
        <v>1032</v>
      </c>
      <c r="AA276" s="82" t="s">
        <v>36</v>
      </c>
      <c r="AB276" s="83" t="s">
        <v>37</v>
      </c>
      <c r="AC276" s="84"/>
      <c r="AD276" s="76"/>
      <c r="AE276" s="76"/>
      <c r="AF276" s="76"/>
      <c r="AG276" s="84"/>
      <c r="AH276" s="76"/>
      <c r="AI276" s="76"/>
      <c r="AJ276" s="76"/>
      <c r="AK276" s="84"/>
      <c r="AL276" s="84"/>
      <c r="AM276" s="84"/>
      <c r="AN276" s="84"/>
      <c r="AO276" s="84"/>
    </row>
    <row r="277" spans="1:41" s="1" customFormat="1" ht="45" customHeight="1" x14ac:dyDescent="0.2">
      <c r="A277" s="75">
        <v>36</v>
      </c>
      <c r="B277" s="75"/>
      <c r="C277" s="76" t="s">
        <v>410</v>
      </c>
      <c r="D277" s="76" t="s">
        <v>1649</v>
      </c>
      <c r="E277" s="75" t="s">
        <v>1650</v>
      </c>
      <c r="F277" s="75" t="e">
        <f t="shared" si="46"/>
        <v>#VALUE!</v>
      </c>
      <c r="G277" s="77">
        <v>0.97</v>
      </c>
      <c r="H277" s="78" t="e">
        <f t="shared" si="39"/>
        <v>#VALUE!</v>
      </c>
      <c r="I277" s="78" t="e">
        <f t="shared" si="40"/>
        <v>#VALUE!</v>
      </c>
      <c r="J277" s="75"/>
      <c r="K277" s="79">
        <v>60000</v>
      </c>
      <c r="L277" s="79">
        <f t="shared" si="41"/>
        <v>58200</v>
      </c>
      <c r="M277" s="76"/>
      <c r="N277" s="75" t="s">
        <v>42</v>
      </c>
      <c r="O277" s="80" t="s">
        <v>1651</v>
      </c>
      <c r="P277" s="81">
        <v>32782</v>
      </c>
      <c r="Q277" s="80" t="s">
        <v>336</v>
      </c>
      <c r="R277" s="81"/>
      <c r="S277" s="81">
        <v>42062</v>
      </c>
      <c r="T277" s="81"/>
      <c r="U277" s="81"/>
      <c r="V277" s="76"/>
      <c r="W277" s="76"/>
      <c r="X277" s="5"/>
      <c r="Y277" s="5"/>
      <c r="Z277" s="76" t="s">
        <v>1032</v>
      </c>
      <c r="AA277" s="82" t="s">
        <v>36</v>
      </c>
      <c r="AB277" s="83" t="s">
        <v>37</v>
      </c>
      <c r="AC277" s="84"/>
      <c r="AD277" s="76"/>
      <c r="AE277" s="76"/>
      <c r="AF277" s="76"/>
      <c r="AG277" s="84"/>
      <c r="AH277" s="76"/>
      <c r="AI277" s="76"/>
      <c r="AJ277" s="76"/>
      <c r="AK277" s="84"/>
      <c r="AL277" s="84"/>
      <c r="AM277" s="84"/>
      <c r="AN277" s="84"/>
      <c r="AO277" s="84"/>
    </row>
    <row r="278" spans="1:41" s="1" customFormat="1" ht="45" customHeight="1" x14ac:dyDescent="0.2">
      <c r="A278" s="75">
        <v>37</v>
      </c>
      <c r="B278" s="75"/>
      <c r="C278" s="76" t="s">
        <v>410</v>
      </c>
      <c r="D278" s="76" t="s">
        <v>1652</v>
      </c>
      <c r="E278" s="75" t="s">
        <v>1653</v>
      </c>
      <c r="F278" s="75" t="e">
        <f t="shared" si="46"/>
        <v>#VALUE!</v>
      </c>
      <c r="G278" s="77">
        <v>0.97</v>
      </c>
      <c r="H278" s="78" t="e">
        <f t="shared" si="39"/>
        <v>#VALUE!</v>
      </c>
      <c r="I278" s="78" t="e">
        <f t="shared" si="40"/>
        <v>#VALUE!</v>
      </c>
      <c r="J278" s="75"/>
      <c r="K278" s="79">
        <f>35615.53</f>
        <v>35615.53</v>
      </c>
      <c r="L278" s="79">
        <f t="shared" si="41"/>
        <v>34547.064099999996</v>
      </c>
      <c r="M278" s="76"/>
      <c r="N278" s="75" t="s">
        <v>42</v>
      </c>
      <c r="O278" s="80" t="s">
        <v>1654</v>
      </c>
      <c r="P278" s="81">
        <v>32964</v>
      </c>
      <c r="Q278" s="80" t="s">
        <v>336</v>
      </c>
      <c r="R278" s="81"/>
      <c r="S278" s="81">
        <v>42427</v>
      </c>
      <c r="T278" s="81"/>
      <c r="U278" s="81"/>
      <c r="V278" s="76"/>
      <c r="W278" s="76"/>
      <c r="X278" s="5"/>
      <c r="Y278" s="5"/>
      <c r="Z278" s="76" t="s">
        <v>1032</v>
      </c>
      <c r="AA278" s="82" t="s">
        <v>36</v>
      </c>
      <c r="AB278" s="83" t="s">
        <v>37</v>
      </c>
      <c r="AC278" s="84"/>
      <c r="AD278" s="76"/>
      <c r="AE278" s="76"/>
      <c r="AF278" s="76"/>
      <c r="AG278" s="84"/>
      <c r="AH278" s="76"/>
      <c r="AI278" s="76"/>
      <c r="AJ278" s="76"/>
      <c r="AK278" s="84"/>
      <c r="AL278" s="84"/>
      <c r="AM278" s="84"/>
      <c r="AN278" s="84"/>
      <c r="AO278" s="84"/>
    </row>
    <row r="279" spans="1:41" s="1" customFormat="1" ht="45" customHeight="1" x14ac:dyDescent="0.2">
      <c r="A279" s="75">
        <v>38</v>
      </c>
      <c r="B279" s="75"/>
      <c r="C279" s="76" t="s">
        <v>410</v>
      </c>
      <c r="D279" s="76" t="s">
        <v>1655</v>
      </c>
      <c r="E279" s="75" t="s">
        <v>1656</v>
      </c>
      <c r="F279" s="75" t="e">
        <f t="shared" si="46"/>
        <v>#VALUE!</v>
      </c>
      <c r="G279" s="77">
        <v>0.75</v>
      </c>
      <c r="H279" s="78" t="e">
        <f t="shared" si="39"/>
        <v>#VALUE!</v>
      </c>
      <c r="I279" s="78" t="e">
        <f t="shared" si="40"/>
        <v>#VALUE!</v>
      </c>
      <c r="J279" s="75" t="s">
        <v>13</v>
      </c>
      <c r="K279" s="79">
        <v>60000</v>
      </c>
      <c r="L279" s="79">
        <f t="shared" si="41"/>
        <v>45000</v>
      </c>
      <c r="M279" s="76"/>
      <c r="N279" s="75" t="s">
        <v>42</v>
      </c>
      <c r="O279" s="80" t="s">
        <v>1657</v>
      </c>
      <c r="P279" s="81">
        <v>36495</v>
      </c>
      <c r="Q279" s="80" t="s">
        <v>336</v>
      </c>
      <c r="R279" s="81"/>
      <c r="S279" s="81">
        <v>40969</v>
      </c>
      <c r="T279" s="81">
        <v>35156</v>
      </c>
      <c r="U279" s="81">
        <v>35951</v>
      </c>
      <c r="V279" s="76"/>
      <c r="W279" s="76"/>
      <c r="X279" s="5"/>
      <c r="Y279" s="5"/>
      <c r="Z279" s="76" t="s">
        <v>1032</v>
      </c>
      <c r="AA279" s="82" t="s">
        <v>36</v>
      </c>
      <c r="AB279" s="83" t="s">
        <v>37</v>
      </c>
      <c r="AC279" s="84"/>
      <c r="AD279" s="76"/>
      <c r="AE279" s="76"/>
      <c r="AF279" s="76"/>
      <c r="AG279" s="84"/>
      <c r="AH279" s="76"/>
      <c r="AI279" s="76"/>
      <c r="AJ279" s="76"/>
      <c r="AK279" s="84"/>
      <c r="AL279" s="84"/>
      <c r="AM279" s="84"/>
      <c r="AN279" s="84"/>
      <c r="AO279" s="84"/>
    </row>
    <row r="280" spans="1:41" s="1" customFormat="1" ht="45" customHeight="1" x14ac:dyDescent="0.2">
      <c r="A280" s="75">
        <v>39</v>
      </c>
      <c r="B280" s="75"/>
      <c r="C280" s="76" t="s">
        <v>410</v>
      </c>
      <c r="D280" s="76" t="s">
        <v>1658</v>
      </c>
      <c r="E280" s="75" t="s">
        <v>1659</v>
      </c>
      <c r="F280" s="75" t="e">
        <f t="shared" si="46"/>
        <v>#VALUE!</v>
      </c>
      <c r="G280" s="85">
        <v>0.625</v>
      </c>
      <c r="H280" s="78" t="e">
        <f t="shared" si="39"/>
        <v>#VALUE!</v>
      </c>
      <c r="I280" s="78" t="e">
        <f t="shared" si="40"/>
        <v>#VALUE!</v>
      </c>
      <c r="J280" s="75"/>
      <c r="K280" s="79">
        <v>34575.78</v>
      </c>
      <c r="L280" s="79">
        <f t="shared" si="41"/>
        <v>21609.862499999999</v>
      </c>
      <c r="M280" s="76"/>
      <c r="N280" s="75" t="s">
        <v>42</v>
      </c>
      <c r="O280" s="80" t="s">
        <v>1660</v>
      </c>
      <c r="P280" s="81">
        <v>40026</v>
      </c>
      <c r="Q280" s="80" t="s">
        <v>336</v>
      </c>
      <c r="R280" s="81"/>
      <c r="S280" s="81">
        <v>43888</v>
      </c>
      <c r="T280" s="81">
        <v>37683</v>
      </c>
      <c r="U280" s="81">
        <v>40026</v>
      </c>
      <c r="V280" s="76"/>
      <c r="W280" s="76"/>
      <c r="X280" s="5"/>
      <c r="Y280" s="5"/>
      <c r="Z280" s="76" t="s">
        <v>1032</v>
      </c>
      <c r="AA280" s="82" t="s">
        <v>36</v>
      </c>
      <c r="AB280" s="83" t="s">
        <v>37</v>
      </c>
      <c r="AC280" s="84"/>
      <c r="AD280" s="76"/>
      <c r="AE280" s="76"/>
      <c r="AF280" s="76"/>
      <c r="AG280" s="84"/>
      <c r="AH280" s="76"/>
      <c r="AI280" s="76"/>
      <c r="AJ280" s="76"/>
      <c r="AK280" s="84"/>
      <c r="AL280" s="84"/>
      <c r="AM280" s="84"/>
      <c r="AN280" s="84"/>
      <c r="AO280" s="84"/>
    </row>
    <row r="281" spans="1:41" s="1" customFormat="1" ht="45" customHeight="1" x14ac:dyDescent="0.2">
      <c r="A281" s="75">
        <v>40</v>
      </c>
      <c r="B281" s="75"/>
      <c r="C281" s="76" t="s">
        <v>410</v>
      </c>
      <c r="D281" s="76" t="s">
        <v>1661</v>
      </c>
      <c r="E281" s="75" t="s">
        <v>1662</v>
      </c>
      <c r="F281" s="75" t="e">
        <f t="shared" si="46"/>
        <v>#VALUE!</v>
      </c>
      <c r="G281" s="85">
        <v>0.67500000000000004</v>
      </c>
      <c r="H281" s="78" t="e">
        <f t="shared" si="39"/>
        <v>#VALUE!</v>
      </c>
      <c r="I281" s="78" t="e">
        <f t="shared" si="40"/>
        <v>#VALUE!</v>
      </c>
      <c r="J281" s="75"/>
      <c r="K281" s="79">
        <f t="shared" ref="K281" si="47">34575.78+8000</f>
        <v>42575.78</v>
      </c>
      <c r="L281" s="79">
        <f t="shared" si="41"/>
        <v>28738.6515</v>
      </c>
      <c r="M281" s="76"/>
      <c r="N281" s="75" t="s">
        <v>42</v>
      </c>
      <c r="O281" s="80" t="s">
        <v>1663</v>
      </c>
      <c r="P281" s="81">
        <v>36923</v>
      </c>
      <c r="Q281" s="80" t="s">
        <v>336</v>
      </c>
      <c r="R281" s="81"/>
      <c r="S281" s="81">
        <v>43888</v>
      </c>
      <c r="T281" s="81"/>
      <c r="U281" s="81"/>
      <c r="V281" s="76"/>
      <c r="W281" s="76"/>
      <c r="X281" s="5"/>
      <c r="Y281" s="5"/>
      <c r="Z281" s="76" t="s">
        <v>1032</v>
      </c>
      <c r="AA281" s="82" t="s">
        <v>36</v>
      </c>
      <c r="AB281" s="83" t="s">
        <v>37</v>
      </c>
      <c r="AC281" s="84"/>
      <c r="AD281" s="76"/>
      <c r="AE281" s="76"/>
      <c r="AF281" s="76"/>
      <c r="AG281" s="84"/>
      <c r="AH281" s="76"/>
      <c r="AI281" s="76"/>
      <c r="AJ281" s="76"/>
      <c r="AK281" s="84"/>
      <c r="AL281" s="84"/>
      <c r="AM281" s="84"/>
      <c r="AN281" s="84"/>
      <c r="AO281" s="84"/>
    </row>
    <row r="282" spans="1:41" s="1" customFormat="1" ht="45" customHeight="1" x14ac:dyDescent="0.2">
      <c r="A282" s="75">
        <v>41</v>
      </c>
      <c r="B282" s="75"/>
      <c r="C282" s="76" t="s">
        <v>410</v>
      </c>
      <c r="D282" s="76" t="s">
        <v>1664</v>
      </c>
      <c r="E282" s="75" t="s">
        <v>1665</v>
      </c>
      <c r="F282" s="75" t="e">
        <f t="shared" si="46"/>
        <v>#VALUE!</v>
      </c>
      <c r="G282" s="85">
        <v>0.72499999999999998</v>
      </c>
      <c r="H282" s="78" t="e">
        <f t="shared" si="39"/>
        <v>#VALUE!</v>
      </c>
      <c r="I282" s="78" t="e">
        <f t="shared" si="40"/>
        <v>#VALUE!</v>
      </c>
      <c r="J282" s="75"/>
      <c r="K282" s="79">
        <f>35615.52</f>
        <v>35615.519999999997</v>
      </c>
      <c r="L282" s="79">
        <f t="shared" si="41"/>
        <v>25821.251999999997</v>
      </c>
      <c r="M282" s="76"/>
      <c r="N282" s="75" t="s">
        <v>42</v>
      </c>
      <c r="O282" s="80" t="s">
        <v>1666</v>
      </c>
      <c r="P282" s="81">
        <v>36220</v>
      </c>
      <c r="Q282" s="80" t="s">
        <v>336</v>
      </c>
      <c r="R282" s="81"/>
      <c r="S282" s="81">
        <v>42427</v>
      </c>
      <c r="T282" s="81"/>
      <c r="U282" s="81"/>
      <c r="V282" s="76"/>
      <c r="W282" s="76"/>
      <c r="X282" s="5"/>
      <c r="Y282" s="5"/>
      <c r="Z282" s="76" t="s">
        <v>1032</v>
      </c>
      <c r="AA282" s="82" t="s">
        <v>36</v>
      </c>
      <c r="AB282" s="83" t="s">
        <v>37</v>
      </c>
      <c r="AC282" s="84"/>
      <c r="AD282" s="76"/>
      <c r="AE282" s="76"/>
      <c r="AF282" s="76"/>
      <c r="AG282" s="84"/>
      <c r="AH282" s="76"/>
      <c r="AI282" s="76"/>
      <c r="AJ282" s="76"/>
      <c r="AK282" s="84"/>
      <c r="AL282" s="84"/>
      <c r="AM282" s="84"/>
      <c r="AN282" s="84"/>
      <c r="AO282" s="84"/>
    </row>
    <row r="283" spans="1:41" s="1" customFormat="1" ht="45" customHeight="1" x14ac:dyDescent="0.2">
      <c r="A283" s="75">
        <v>42</v>
      </c>
      <c r="B283" s="75"/>
      <c r="C283" s="76" t="s">
        <v>410</v>
      </c>
      <c r="D283" s="76" t="s">
        <v>1667</v>
      </c>
      <c r="E283" s="75" t="s">
        <v>1668</v>
      </c>
      <c r="F283" s="75" t="e">
        <f t="shared" si="46"/>
        <v>#VALUE!</v>
      </c>
      <c r="G283" s="77">
        <v>0.7</v>
      </c>
      <c r="H283" s="78" t="e">
        <f t="shared" si="39"/>
        <v>#VALUE!</v>
      </c>
      <c r="I283" s="78" t="e">
        <f t="shared" si="40"/>
        <v>#VALUE!</v>
      </c>
      <c r="J283" s="75"/>
      <c r="K283" s="79">
        <v>70000</v>
      </c>
      <c r="L283" s="79">
        <f t="shared" si="41"/>
        <v>49000</v>
      </c>
      <c r="M283" s="76"/>
      <c r="N283" s="75" t="s">
        <v>42</v>
      </c>
      <c r="O283" s="80" t="s">
        <v>1669</v>
      </c>
      <c r="P283" s="81">
        <v>38291</v>
      </c>
      <c r="Q283" s="80" t="s">
        <v>336</v>
      </c>
      <c r="R283" s="81"/>
      <c r="S283" s="81">
        <v>44984</v>
      </c>
      <c r="T283" s="81">
        <v>36617</v>
      </c>
      <c r="U283" s="81">
        <v>38309</v>
      </c>
      <c r="V283" s="76"/>
      <c r="W283" s="76"/>
      <c r="X283" s="5"/>
      <c r="Y283" s="5"/>
      <c r="Z283" s="76" t="s">
        <v>1032</v>
      </c>
      <c r="AA283" s="82" t="s">
        <v>36</v>
      </c>
      <c r="AB283" s="83" t="s">
        <v>37</v>
      </c>
      <c r="AC283" s="84"/>
      <c r="AD283" s="76"/>
      <c r="AE283" s="76"/>
      <c r="AF283" s="76"/>
      <c r="AG283" s="84"/>
      <c r="AH283" s="76"/>
      <c r="AI283" s="76"/>
      <c r="AJ283" s="76"/>
      <c r="AK283" s="84"/>
      <c r="AL283" s="84"/>
      <c r="AM283" s="84"/>
      <c r="AN283" s="84"/>
      <c r="AO283" s="84"/>
    </row>
    <row r="284" spans="1:41" s="1" customFormat="1" ht="45" customHeight="1" x14ac:dyDescent="0.2">
      <c r="A284" s="75">
        <v>43</v>
      </c>
      <c r="B284" s="75"/>
      <c r="C284" s="76" t="s">
        <v>410</v>
      </c>
      <c r="D284" s="76" t="s">
        <v>1670</v>
      </c>
      <c r="E284" s="75" t="s">
        <v>1671</v>
      </c>
      <c r="F284" s="75" t="e">
        <f t="shared" si="46"/>
        <v>#VALUE!</v>
      </c>
      <c r="G284" s="77">
        <v>0.8</v>
      </c>
      <c r="H284" s="78" t="e">
        <f t="shared" si="39"/>
        <v>#VALUE!</v>
      </c>
      <c r="I284" s="78" t="e">
        <f t="shared" si="40"/>
        <v>#VALUE!</v>
      </c>
      <c r="J284" s="75"/>
      <c r="K284" s="79">
        <v>34575.78</v>
      </c>
      <c r="L284" s="79">
        <f t="shared" si="41"/>
        <v>27660.624</v>
      </c>
      <c r="M284" s="76"/>
      <c r="N284" s="75" t="s">
        <v>42</v>
      </c>
      <c r="O284" s="80" t="s">
        <v>1672</v>
      </c>
      <c r="P284" s="81">
        <v>35657</v>
      </c>
      <c r="Q284" s="80" t="s">
        <v>336</v>
      </c>
      <c r="R284" s="81"/>
      <c r="S284" s="81">
        <v>43888</v>
      </c>
      <c r="T284" s="81">
        <v>34001</v>
      </c>
      <c r="U284" s="81">
        <v>34503</v>
      </c>
      <c r="V284" s="76"/>
      <c r="W284" s="76"/>
      <c r="X284" s="5"/>
      <c r="Y284" s="5"/>
      <c r="Z284" s="76" t="s">
        <v>1032</v>
      </c>
      <c r="AA284" s="82" t="s">
        <v>36</v>
      </c>
      <c r="AB284" s="83" t="s">
        <v>37</v>
      </c>
      <c r="AC284" s="84"/>
      <c r="AD284" s="76"/>
      <c r="AE284" s="76">
        <v>1</v>
      </c>
      <c r="AF284" s="76"/>
      <c r="AG284" s="84"/>
      <c r="AH284" s="76"/>
      <c r="AI284" s="76"/>
      <c r="AJ284" s="76">
        <v>30</v>
      </c>
      <c r="AK284" s="84"/>
      <c r="AL284" s="84"/>
      <c r="AM284" s="84"/>
      <c r="AN284" s="84"/>
      <c r="AO284" s="84"/>
    </row>
    <row r="285" spans="1:41" s="1" customFormat="1" ht="45" customHeight="1" x14ac:dyDescent="0.2">
      <c r="A285" s="75">
        <v>44</v>
      </c>
      <c r="B285" s="75"/>
      <c r="C285" s="76" t="s">
        <v>410</v>
      </c>
      <c r="D285" s="76" t="s">
        <v>1673</v>
      </c>
      <c r="E285" s="75" t="s">
        <v>1674</v>
      </c>
      <c r="F285" s="75" t="e">
        <f t="shared" si="46"/>
        <v>#VALUE!</v>
      </c>
      <c r="G285" s="85">
        <v>0.72499999999999998</v>
      </c>
      <c r="H285" s="78" t="e">
        <f t="shared" si="39"/>
        <v>#VALUE!</v>
      </c>
      <c r="I285" s="78" t="e">
        <f t="shared" si="40"/>
        <v>#VALUE!</v>
      </c>
      <c r="J285" s="75"/>
      <c r="K285" s="79">
        <f>35615.52</f>
        <v>35615.519999999997</v>
      </c>
      <c r="L285" s="79">
        <f t="shared" si="41"/>
        <v>25821.251999999997</v>
      </c>
      <c r="M285" s="76"/>
      <c r="N285" s="75" t="s">
        <v>42</v>
      </c>
      <c r="O285" s="80" t="s">
        <v>1675</v>
      </c>
      <c r="P285" s="81">
        <v>36100</v>
      </c>
      <c r="Q285" s="80" t="s">
        <v>336</v>
      </c>
      <c r="R285" s="81"/>
      <c r="S285" s="81">
        <v>43523</v>
      </c>
      <c r="T285" s="81"/>
      <c r="U285" s="81"/>
      <c r="V285" s="76"/>
      <c r="W285" s="76"/>
      <c r="X285" s="5"/>
      <c r="Y285" s="5"/>
      <c r="Z285" s="76" t="s">
        <v>293</v>
      </c>
      <c r="AA285" s="82" t="s">
        <v>36</v>
      </c>
      <c r="AB285" s="83" t="s">
        <v>37</v>
      </c>
      <c r="AC285" s="84"/>
      <c r="AD285" s="76"/>
      <c r="AE285" s="76"/>
      <c r="AF285" s="76"/>
      <c r="AG285" s="84"/>
      <c r="AH285" s="76"/>
      <c r="AI285" s="76"/>
      <c r="AJ285" s="76"/>
      <c r="AK285" s="84"/>
      <c r="AL285" s="84"/>
      <c r="AM285" s="84"/>
      <c r="AN285" s="84"/>
      <c r="AO285" s="84"/>
    </row>
    <row r="286" spans="1:41" s="1" customFormat="1" ht="45" customHeight="1" x14ac:dyDescent="0.2">
      <c r="A286" s="75">
        <v>45</v>
      </c>
      <c r="B286" s="75"/>
      <c r="C286" s="76" t="s">
        <v>410</v>
      </c>
      <c r="D286" s="76" t="s">
        <v>1676</v>
      </c>
      <c r="E286" s="75" t="s">
        <v>1677</v>
      </c>
      <c r="F286" s="75" t="e">
        <f t="shared" si="46"/>
        <v>#VALUE!</v>
      </c>
      <c r="G286" s="77">
        <v>0.94</v>
      </c>
      <c r="H286" s="78" t="e">
        <f t="shared" si="39"/>
        <v>#VALUE!</v>
      </c>
      <c r="I286" s="78" t="e">
        <f t="shared" si="40"/>
        <v>#VALUE!</v>
      </c>
      <c r="J286" s="75"/>
      <c r="K286" s="79">
        <f>35615.53</f>
        <v>35615.53</v>
      </c>
      <c r="L286" s="79">
        <f t="shared" si="41"/>
        <v>33478.5982</v>
      </c>
      <c r="M286" s="76"/>
      <c r="N286" s="75" t="s">
        <v>42</v>
      </c>
      <c r="O286" s="80" t="s">
        <v>1678</v>
      </c>
      <c r="P286" s="81">
        <v>33270</v>
      </c>
      <c r="Q286" s="80" t="s">
        <v>336</v>
      </c>
      <c r="R286" s="81"/>
      <c r="S286" s="81">
        <v>42062</v>
      </c>
      <c r="T286" s="81"/>
      <c r="U286" s="81"/>
      <c r="V286" s="76"/>
      <c r="W286" s="76"/>
      <c r="X286" s="5" t="s">
        <v>1286</v>
      </c>
      <c r="Y286" s="5"/>
      <c r="Z286" s="76" t="s">
        <v>1032</v>
      </c>
      <c r="AA286" s="82" t="s">
        <v>36</v>
      </c>
      <c r="AB286" s="83" t="s">
        <v>37</v>
      </c>
      <c r="AC286" s="84"/>
      <c r="AD286" s="76"/>
      <c r="AE286" s="76"/>
      <c r="AF286" s="76"/>
      <c r="AG286" s="84"/>
      <c r="AH286" s="76"/>
      <c r="AI286" s="76"/>
      <c r="AJ286" s="76"/>
      <c r="AK286" s="84"/>
      <c r="AL286" s="84"/>
      <c r="AM286" s="84"/>
      <c r="AN286" s="84"/>
      <c r="AO286" s="84"/>
    </row>
    <row r="287" spans="1:41" s="1" customFormat="1" ht="45" customHeight="1" x14ac:dyDescent="0.2">
      <c r="A287" s="75">
        <v>46</v>
      </c>
      <c r="B287" s="75"/>
      <c r="C287" s="76" t="s">
        <v>410</v>
      </c>
      <c r="D287" s="76" t="s">
        <v>1679</v>
      </c>
      <c r="E287" s="75" t="s">
        <v>1680</v>
      </c>
      <c r="F287" s="75" t="e">
        <f t="shared" si="46"/>
        <v>#VALUE!</v>
      </c>
      <c r="G287" s="77">
        <v>0.65</v>
      </c>
      <c r="H287" s="78" t="e">
        <f t="shared" si="39"/>
        <v>#VALUE!</v>
      </c>
      <c r="I287" s="78" t="e">
        <f t="shared" si="40"/>
        <v>#VALUE!</v>
      </c>
      <c r="J287" s="75"/>
      <c r="K287" s="79">
        <f>35615.53</f>
        <v>35615.53</v>
      </c>
      <c r="L287" s="79">
        <f t="shared" si="41"/>
        <v>23150.094499999999</v>
      </c>
      <c r="M287" s="76"/>
      <c r="N287" s="75" t="s">
        <v>42</v>
      </c>
      <c r="O287" s="80" t="s">
        <v>1681</v>
      </c>
      <c r="P287" s="81">
        <v>37712</v>
      </c>
      <c r="Q287" s="80" t="s">
        <v>336</v>
      </c>
      <c r="R287" s="81"/>
      <c r="S287" s="81">
        <v>42427</v>
      </c>
      <c r="T287" s="81">
        <v>37314</v>
      </c>
      <c r="U287" s="81">
        <v>37711</v>
      </c>
      <c r="V287" s="76"/>
      <c r="W287" s="76"/>
      <c r="X287" s="5"/>
      <c r="Y287" s="5"/>
      <c r="Z287" s="76" t="s">
        <v>35</v>
      </c>
      <c r="AA287" s="82" t="s">
        <v>36</v>
      </c>
      <c r="AB287" s="83" t="s">
        <v>37</v>
      </c>
      <c r="AC287" s="84"/>
      <c r="AD287" s="76">
        <v>1</v>
      </c>
      <c r="AE287" s="76"/>
      <c r="AF287" s="76"/>
      <c r="AG287" s="84"/>
      <c r="AH287" s="76"/>
      <c r="AI287" s="76">
        <v>12</v>
      </c>
      <c r="AJ287" s="76"/>
      <c r="AK287" s="84"/>
      <c r="AL287" s="84"/>
      <c r="AM287" s="84"/>
      <c r="AN287" s="84"/>
      <c r="AO287" s="84"/>
    </row>
    <row r="288" spans="1:41" s="1" customFormat="1" ht="45" customHeight="1" x14ac:dyDescent="0.2">
      <c r="A288" s="75">
        <v>47</v>
      </c>
      <c r="B288" s="75"/>
      <c r="C288" s="76" t="s">
        <v>410</v>
      </c>
      <c r="D288" s="76" t="s">
        <v>1682</v>
      </c>
      <c r="E288" s="75" t="s">
        <v>1683</v>
      </c>
      <c r="F288" s="75" t="e">
        <f t="shared" si="46"/>
        <v>#VALUE!</v>
      </c>
      <c r="G288" s="77">
        <v>0.625</v>
      </c>
      <c r="H288" s="78" t="e">
        <f t="shared" si="39"/>
        <v>#VALUE!</v>
      </c>
      <c r="I288" s="78" t="e">
        <f t="shared" si="40"/>
        <v>#VALUE!</v>
      </c>
      <c r="J288" s="75"/>
      <c r="K288" s="79">
        <f>35615.53</f>
        <v>35615.53</v>
      </c>
      <c r="L288" s="79">
        <f t="shared" si="41"/>
        <v>22259.706249999999</v>
      </c>
      <c r="M288" s="76"/>
      <c r="N288" s="75" t="s">
        <v>42</v>
      </c>
      <c r="O288" s="80" t="s">
        <v>1684</v>
      </c>
      <c r="P288" s="81">
        <v>37712</v>
      </c>
      <c r="Q288" s="80" t="s">
        <v>336</v>
      </c>
      <c r="R288" s="81"/>
      <c r="S288" s="81">
        <v>43160</v>
      </c>
      <c r="T288" s="81"/>
      <c r="U288" s="81"/>
      <c r="V288" s="76"/>
      <c r="W288" s="76"/>
      <c r="X288" s="5"/>
      <c r="Y288" s="5"/>
      <c r="Z288" s="86" t="s">
        <v>1032</v>
      </c>
      <c r="AA288" s="82" t="s">
        <v>36</v>
      </c>
      <c r="AB288" s="83" t="s">
        <v>37</v>
      </c>
      <c r="AC288" s="84"/>
      <c r="AD288" s="76"/>
      <c r="AE288" s="76"/>
      <c r="AF288" s="76"/>
      <c r="AG288" s="84"/>
      <c r="AH288" s="76"/>
      <c r="AI288" s="76"/>
      <c r="AJ288" s="76"/>
      <c r="AK288" s="84"/>
      <c r="AL288" s="84"/>
      <c r="AM288" s="84"/>
      <c r="AN288" s="84"/>
      <c r="AO288" s="84"/>
    </row>
    <row r="289" spans="1:41" s="1" customFormat="1" ht="45" customHeight="1" x14ac:dyDescent="0.2">
      <c r="A289" s="75">
        <v>48</v>
      </c>
      <c r="B289" s="75"/>
      <c r="C289" s="76" t="s">
        <v>410</v>
      </c>
      <c r="D289" s="76" t="s">
        <v>1685</v>
      </c>
      <c r="E289" s="75" t="s">
        <v>1686</v>
      </c>
      <c r="F289" s="75" t="e">
        <f t="shared" si="46"/>
        <v>#VALUE!</v>
      </c>
      <c r="G289" s="77">
        <v>0.88</v>
      </c>
      <c r="H289" s="78" t="e">
        <f t="shared" si="39"/>
        <v>#VALUE!</v>
      </c>
      <c r="I289" s="78" t="e">
        <f t="shared" si="40"/>
        <v>#VALUE!</v>
      </c>
      <c r="J289" s="75"/>
      <c r="K289" s="79">
        <v>34575.78</v>
      </c>
      <c r="L289" s="79">
        <f t="shared" si="41"/>
        <v>30426.686399999999</v>
      </c>
      <c r="M289" s="76"/>
      <c r="N289" s="75" t="s">
        <v>42</v>
      </c>
      <c r="O289" s="80" t="s">
        <v>1687</v>
      </c>
      <c r="P289" s="81">
        <v>34027</v>
      </c>
      <c r="Q289" s="80" t="s">
        <v>336</v>
      </c>
      <c r="R289" s="81"/>
      <c r="S289" s="81">
        <v>44984</v>
      </c>
      <c r="T289" s="81"/>
      <c r="U289" s="81"/>
      <c r="V289" s="76"/>
      <c r="W289" s="76"/>
      <c r="X289" s="5"/>
      <c r="Y289" s="5"/>
      <c r="Z289" s="76" t="s">
        <v>1032</v>
      </c>
      <c r="AA289" s="82" t="s">
        <v>36</v>
      </c>
      <c r="AB289" s="83" t="s">
        <v>37</v>
      </c>
      <c r="AC289" s="84"/>
      <c r="AD289" s="76"/>
      <c r="AE289" s="76"/>
      <c r="AF289" s="76"/>
      <c r="AG289" s="84"/>
      <c r="AH289" s="76"/>
      <c r="AI289" s="76"/>
      <c r="AJ289" s="76"/>
      <c r="AK289" s="84"/>
      <c r="AL289" s="84"/>
      <c r="AM289" s="84"/>
      <c r="AN289" s="84"/>
      <c r="AO289" s="84"/>
    </row>
    <row r="290" spans="1:41" s="1" customFormat="1" ht="45" customHeight="1" x14ac:dyDescent="0.2">
      <c r="A290" s="75">
        <v>49</v>
      </c>
      <c r="B290" s="75"/>
      <c r="C290" s="76" t="s">
        <v>87</v>
      </c>
      <c r="D290" s="76" t="s">
        <v>1688</v>
      </c>
      <c r="E290" s="75" t="s">
        <v>1689</v>
      </c>
      <c r="F290" s="75" t="e">
        <f>DATEDIF(P290,Q290,"y") + DATEDIF(T290,U290,"y") + DATEDIF(V290,W290,"y") + SUM(AD290) &amp; " años " &amp; DATEDIF(P290,Q290,"ym") + DATEDIF(T290,U290,"ym") + DATEDIF(V290,W290,"ym") + SUM(AE290) - SUM(AI290) &amp; " meses " &amp; DATEDIF(P290,Q290,"md") + DATEDIF(T290,U290,"md") + DATEDIF(V290,W290,"md") - SUM(AJ290) &amp; " días"</f>
        <v>#VALUE!</v>
      </c>
      <c r="G290" s="77">
        <v>0.88</v>
      </c>
      <c r="H290" s="78" t="e">
        <f t="shared" si="39"/>
        <v>#VALUE!</v>
      </c>
      <c r="I290" s="78" t="e">
        <f t="shared" si="40"/>
        <v>#VALUE!</v>
      </c>
      <c r="J290" s="75"/>
      <c r="K290" s="79">
        <f>34575.77</f>
        <v>34575.769999999997</v>
      </c>
      <c r="L290" s="79">
        <f t="shared" si="41"/>
        <v>30426.677599999999</v>
      </c>
      <c r="M290" s="76"/>
      <c r="N290" s="75" t="s">
        <v>42</v>
      </c>
      <c r="O290" s="80" t="s">
        <v>1690</v>
      </c>
      <c r="P290" s="81">
        <v>34027</v>
      </c>
      <c r="Q290" s="80" t="s">
        <v>336</v>
      </c>
      <c r="R290" s="81"/>
      <c r="S290" s="81">
        <v>42062</v>
      </c>
      <c r="T290" s="81"/>
      <c r="U290" s="81"/>
      <c r="V290" s="76"/>
      <c r="W290" s="76"/>
      <c r="X290" s="5"/>
      <c r="Y290" s="5"/>
      <c r="Z290" s="76" t="s">
        <v>35</v>
      </c>
      <c r="AA290" s="82" t="s">
        <v>36</v>
      </c>
      <c r="AB290" s="83" t="s">
        <v>37</v>
      </c>
      <c r="AC290" s="84"/>
      <c r="AD290" s="76"/>
      <c r="AE290" s="76"/>
      <c r="AF290" s="76"/>
      <c r="AG290" s="84"/>
      <c r="AH290" s="76"/>
      <c r="AI290" s="76"/>
      <c r="AJ290" s="76"/>
      <c r="AK290" s="84"/>
      <c r="AL290" s="84"/>
      <c r="AM290" s="84"/>
      <c r="AN290" s="84"/>
      <c r="AO290" s="84"/>
    </row>
    <row r="291" spans="1:41" s="1" customFormat="1" ht="45" customHeight="1" x14ac:dyDescent="0.2">
      <c r="A291" s="75">
        <v>50</v>
      </c>
      <c r="B291" s="75"/>
      <c r="C291" s="76" t="s">
        <v>87</v>
      </c>
      <c r="D291" s="76" t="s">
        <v>1691</v>
      </c>
      <c r="E291" s="75" t="s">
        <v>1692</v>
      </c>
      <c r="F291" s="75" t="e">
        <f>DATEDIF(P291,Q291,"y") + DATEDIF(T291,U291,"y") + DATEDIF(V291,W291,"y") + SUM(AD291) &amp; " años " &amp; DATEDIF(P291,Q291,"ym") + DATEDIF(T291,U291,"ym") + DATEDIF(V291,W291,"ym") + SUM(AE291) - SUM(AI291) &amp; " meses " &amp; DATEDIF(P291,Q291,"md") + DATEDIF(T291,U291,"md") + DATEDIF(V291,W291,"md") - SUM(AJ291) &amp; " días"</f>
        <v>#VALUE!</v>
      </c>
      <c r="G291" s="77">
        <v>0.88</v>
      </c>
      <c r="H291" s="78" t="e">
        <f t="shared" si="39"/>
        <v>#VALUE!</v>
      </c>
      <c r="I291" s="78" t="e">
        <f t="shared" si="40"/>
        <v>#VALUE!</v>
      </c>
      <c r="J291" s="75" t="s">
        <v>13</v>
      </c>
      <c r="K291" s="79">
        <f>34575.77</f>
        <v>34575.769999999997</v>
      </c>
      <c r="L291" s="79">
        <f t="shared" si="41"/>
        <v>30426.677599999999</v>
      </c>
      <c r="M291" s="76"/>
      <c r="N291" s="75" t="s">
        <v>42</v>
      </c>
      <c r="O291" s="80" t="s">
        <v>1693</v>
      </c>
      <c r="P291" s="81">
        <v>34001</v>
      </c>
      <c r="Q291" s="80" t="s">
        <v>336</v>
      </c>
      <c r="R291" s="81"/>
      <c r="S291" s="81">
        <v>40969</v>
      </c>
      <c r="T291" s="81"/>
      <c r="U291" s="81"/>
      <c r="V291" s="76"/>
      <c r="W291" s="76"/>
      <c r="X291" s="5"/>
      <c r="Y291" s="5"/>
      <c r="Z291" s="76" t="s">
        <v>35</v>
      </c>
      <c r="AA291" s="82" t="s">
        <v>36</v>
      </c>
      <c r="AB291" s="83" t="s">
        <v>37</v>
      </c>
      <c r="AC291" s="84"/>
      <c r="AD291" s="76"/>
      <c r="AE291" s="76"/>
      <c r="AF291" s="76"/>
      <c r="AG291" s="84"/>
      <c r="AH291" s="76"/>
      <c r="AI291" s="76"/>
      <c r="AJ291" s="76"/>
      <c r="AK291" s="84"/>
      <c r="AL291" s="84"/>
      <c r="AM291" s="84"/>
      <c r="AN291" s="84"/>
      <c r="AO291" s="84"/>
    </row>
    <row r="292" spans="1:41" s="1" customFormat="1" ht="45" customHeight="1" x14ac:dyDescent="0.2">
      <c r="A292" s="75">
        <v>51</v>
      </c>
      <c r="B292" s="75"/>
      <c r="C292" s="76" t="s">
        <v>87</v>
      </c>
      <c r="D292" s="76" t="s">
        <v>1694</v>
      </c>
      <c r="E292" s="75" t="s">
        <v>1695</v>
      </c>
      <c r="F292" s="75" t="e">
        <f>DATEDIF(P292,Q292,"y") + DATEDIF(T292,U292,"y") + DATEDIF(V292,W292,"y") + SUM(Z292) &amp; " años " &amp; DATEDIF(P292,Q292,"ym") + DATEDIF(T292,U292,"ym") + DATEDIF(V292,W292,"ym") + SUM(AA292) - SUM(AE292) &amp; " meses " &amp; DATEDIF(P292,Q292,"md") + DATEDIF(T292,U292,"md") + DATEDIF(V292,W292,"md") - SUM(AF292) &amp; " días"</f>
        <v>#VALUE!</v>
      </c>
      <c r="G292" s="77">
        <v>0.88</v>
      </c>
      <c r="H292" s="78" t="e">
        <f t="shared" si="39"/>
        <v>#VALUE!</v>
      </c>
      <c r="I292" s="78" t="e">
        <f t="shared" si="40"/>
        <v>#VALUE!</v>
      </c>
      <c r="J292" s="75"/>
      <c r="K292" s="79">
        <f>34575.77</f>
        <v>34575.769999999997</v>
      </c>
      <c r="L292" s="79">
        <f t="shared" si="41"/>
        <v>30426.677599999999</v>
      </c>
      <c r="M292" s="76"/>
      <c r="N292" s="75" t="s">
        <v>42</v>
      </c>
      <c r="O292" s="80" t="s">
        <v>1696</v>
      </c>
      <c r="P292" s="81">
        <v>34043</v>
      </c>
      <c r="Q292" s="80" t="s">
        <v>336</v>
      </c>
      <c r="R292" s="81"/>
      <c r="S292" s="81">
        <v>41699</v>
      </c>
      <c r="T292" s="81"/>
      <c r="U292" s="81"/>
      <c r="V292" s="76"/>
      <c r="W292" s="76"/>
      <c r="X292" s="5"/>
      <c r="Y292" s="5"/>
      <c r="Z292" s="76" t="s">
        <v>35</v>
      </c>
      <c r="AA292" s="82" t="s">
        <v>36</v>
      </c>
      <c r="AB292" s="83" t="s">
        <v>37</v>
      </c>
      <c r="AC292" s="84"/>
      <c r="AD292" s="76"/>
      <c r="AE292" s="76"/>
      <c r="AF292" s="76"/>
      <c r="AG292" s="84"/>
      <c r="AH292" s="76"/>
      <c r="AI292" s="76"/>
      <c r="AJ292" s="76"/>
      <c r="AK292" s="84"/>
      <c r="AL292" s="84"/>
      <c r="AM292" s="84"/>
      <c r="AN292" s="84"/>
      <c r="AO292" s="84"/>
    </row>
    <row r="293" spans="1:41" s="1" customFormat="1" ht="45" customHeight="1" x14ac:dyDescent="0.2">
      <c r="A293" s="75">
        <v>52</v>
      </c>
      <c r="B293" s="75"/>
      <c r="C293" s="76" t="s">
        <v>87</v>
      </c>
      <c r="D293" s="76" t="s">
        <v>1697</v>
      </c>
      <c r="E293" s="75" t="s">
        <v>1698</v>
      </c>
      <c r="F293" s="75" t="e">
        <f>DATEDIF(P293,Q293,"y") + DATEDIF(T293,U293,"y") + DATEDIF(V293,W293,"y") + SUM(Z293) &amp; " años " &amp; DATEDIF(P293,Q293,"ym") + DATEDIF(T293,U293,"ym") + DATEDIF(V293,W293,"ym") + SUM(AA293) - SUM(AE293) &amp; " meses " &amp; DATEDIF(P293,Q293,"md") + DATEDIF(T293,U293,"md") + DATEDIF(V293,W293,"md") - SUM(AF293) &amp; " días"</f>
        <v>#VALUE!</v>
      </c>
      <c r="G293" s="77">
        <v>0.85</v>
      </c>
      <c r="H293" s="78" t="e">
        <f t="shared" si="39"/>
        <v>#VALUE!</v>
      </c>
      <c r="I293" s="78" t="e">
        <f t="shared" si="40"/>
        <v>#VALUE!</v>
      </c>
      <c r="J293" s="75"/>
      <c r="K293" s="79">
        <f>34575.78</f>
        <v>34575.78</v>
      </c>
      <c r="L293" s="79">
        <f t="shared" si="41"/>
        <v>29389.412999999997</v>
      </c>
      <c r="M293" s="76"/>
      <c r="N293" s="75" t="s">
        <v>42</v>
      </c>
      <c r="O293" s="80" t="s">
        <v>1699</v>
      </c>
      <c r="P293" s="81">
        <v>34335</v>
      </c>
      <c r="Q293" s="80" t="s">
        <v>336</v>
      </c>
      <c r="R293" s="81"/>
      <c r="S293" s="81">
        <v>43160</v>
      </c>
      <c r="T293" s="81"/>
      <c r="U293" s="81"/>
      <c r="V293" s="76"/>
      <c r="W293" s="76"/>
      <c r="X293" s="5" t="s">
        <v>1286</v>
      </c>
      <c r="Y293" s="5" t="s">
        <v>1032</v>
      </c>
      <c r="Z293" s="76" t="s">
        <v>1032</v>
      </c>
      <c r="AA293" s="82" t="s">
        <v>36</v>
      </c>
      <c r="AB293" s="83" t="s">
        <v>37</v>
      </c>
      <c r="AC293" s="84"/>
      <c r="AD293" s="76"/>
      <c r="AE293" s="76"/>
      <c r="AF293" s="76"/>
      <c r="AG293" s="84"/>
      <c r="AH293" s="76"/>
      <c r="AI293" s="76"/>
      <c r="AJ293" s="76"/>
      <c r="AK293" s="84"/>
      <c r="AL293" s="84"/>
      <c r="AM293" s="84"/>
      <c r="AN293" s="84"/>
      <c r="AO293" s="84"/>
    </row>
    <row r="294" spans="1:41" s="1" customFormat="1" ht="45" customHeight="1" x14ac:dyDescent="0.2">
      <c r="A294" s="75">
        <v>53</v>
      </c>
      <c r="B294" s="75"/>
      <c r="C294" s="76" t="s">
        <v>87</v>
      </c>
      <c r="D294" s="76" t="s">
        <v>1700</v>
      </c>
      <c r="E294" s="75" t="s">
        <v>1701</v>
      </c>
      <c r="F294" s="75" t="e">
        <f>DATEDIF(P294,Q294,"y") + DATEDIF(T294,U294,"y") + DATEDIF(V294,W294,"y") + SUM(Z294) &amp; " años " &amp; DATEDIF(P294,Q294,"ym") + DATEDIF(T294,U294,"ym") + DATEDIF(V294,W294,"ym") + SUM(AA294) - SUM(AE294) &amp; " meses " &amp; DATEDIF(P294,Q294,"md") + DATEDIF(T294,U294,"md") + DATEDIF(V294,W294,"md") - SUM(AF294) &amp; " días"</f>
        <v>#VALUE!</v>
      </c>
      <c r="G294" s="77">
        <v>0.88</v>
      </c>
      <c r="H294" s="78" t="e">
        <f t="shared" si="39"/>
        <v>#VALUE!</v>
      </c>
      <c r="I294" s="78" t="e">
        <f t="shared" si="40"/>
        <v>#VALUE!</v>
      </c>
      <c r="J294" s="75"/>
      <c r="K294" s="79">
        <f>34575.77</f>
        <v>34575.769999999997</v>
      </c>
      <c r="L294" s="79">
        <f t="shared" si="41"/>
        <v>30426.677599999999</v>
      </c>
      <c r="M294" s="76"/>
      <c r="N294" s="75" t="s">
        <v>42</v>
      </c>
      <c r="O294" s="80" t="s">
        <v>1702</v>
      </c>
      <c r="P294" s="81">
        <v>34213</v>
      </c>
      <c r="Q294" s="80" t="s">
        <v>336</v>
      </c>
      <c r="R294" s="81"/>
      <c r="S294" s="81">
        <v>42427</v>
      </c>
      <c r="T294" s="81"/>
      <c r="U294" s="81"/>
      <c r="V294" s="76"/>
      <c r="W294" s="76"/>
      <c r="X294" s="5"/>
      <c r="Y294" s="5"/>
      <c r="Z294" s="76" t="s">
        <v>35</v>
      </c>
      <c r="AA294" s="82" t="s">
        <v>36</v>
      </c>
      <c r="AB294" s="83" t="s">
        <v>37</v>
      </c>
      <c r="AC294" s="84"/>
      <c r="AD294" s="76"/>
      <c r="AE294" s="76"/>
      <c r="AF294" s="76"/>
      <c r="AG294" s="84"/>
      <c r="AH294" s="76"/>
      <c r="AI294" s="76"/>
      <c r="AJ294" s="76"/>
      <c r="AK294" s="84"/>
      <c r="AL294" s="84"/>
      <c r="AM294" s="84"/>
      <c r="AN294" s="84"/>
      <c r="AO294" s="84"/>
    </row>
    <row r="295" spans="1:41" s="1" customFormat="1" ht="45" customHeight="1" x14ac:dyDescent="0.2">
      <c r="A295" s="75">
        <v>54</v>
      </c>
      <c r="B295" s="75"/>
      <c r="C295" s="76" t="s">
        <v>87</v>
      </c>
      <c r="D295" s="76" t="s">
        <v>1703</v>
      </c>
      <c r="E295" s="75" t="s">
        <v>1704</v>
      </c>
      <c r="F295" s="75" t="e">
        <f t="shared" ref="F295:F313" si="48">DATEDIF(P295,Q295,"y") + DATEDIF(T295,U295,"y") + DATEDIF(V295,W295,"y") + SUM(AD295) &amp; " años " &amp; DATEDIF(P295,Q295,"ym") + DATEDIF(T295,U295,"ym") + DATEDIF(V295,W295,"ym") + SUM(AE295) - SUM(AI295) &amp; " meses " &amp; DATEDIF(P295,Q295,"md") + DATEDIF(T295,U295,"md") + DATEDIF(V295,W295,"md") - SUM(AJ295) &amp; " días"</f>
        <v>#VALUE!</v>
      </c>
      <c r="G295" s="77">
        <v>0.88</v>
      </c>
      <c r="H295" s="78" t="e">
        <f t="shared" si="39"/>
        <v>#VALUE!</v>
      </c>
      <c r="I295" s="78" t="e">
        <f t="shared" si="40"/>
        <v>#VALUE!</v>
      </c>
      <c r="J295" s="75"/>
      <c r="K295" s="79">
        <f>34575.78</f>
        <v>34575.78</v>
      </c>
      <c r="L295" s="79">
        <f t="shared" si="41"/>
        <v>30426.686399999999</v>
      </c>
      <c r="M295" s="76"/>
      <c r="N295" s="75" t="s">
        <v>42</v>
      </c>
      <c r="O295" s="80" t="s">
        <v>1705</v>
      </c>
      <c r="P295" s="81">
        <v>34213</v>
      </c>
      <c r="Q295" s="80" t="s">
        <v>336</v>
      </c>
      <c r="R295" s="81"/>
      <c r="S295" s="81">
        <v>42062</v>
      </c>
      <c r="T295" s="81"/>
      <c r="U295" s="81"/>
      <c r="V295" s="76"/>
      <c r="W295" s="76"/>
      <c r="X295" s="5"/>
      <c r="Y295" s="5"/>
      <c r="Z295" s="76" t="s">
        <v>35</v>
      </c>
      <c r="AA295" s="82" t="s">
        <v>36</v>
      </c>
      <c r="AB295" s="83" t="s">
        <v>37</v>
      </c>
      <c r="AC295" s="84"/>
      <c r="AD295" s="76"/>
      <c r="AE295" s="76"/>
      <c r="AF295" s="76"/>
      <c r="AG295" s="84"/>
      <c r="AH295" s="76"/>
      <c r="AI295" s="76"/>
      <c r="AJ295" s="76"/>
      <c r="AK295" s="84"/>
      <c r="AL295" s="84"/>
      <c r="AM295" s="84"/>
      <c r="AN295" s="84"/>
      <c r="AO295" s="84"/>
    </row>
    <row r="296" spans="1:41" s="1" customFormat="1" ht="45" customHeight="1" x14ac:dyDescent="0.2">
      <c r="A296" s="75">
        <v>55</v>
      </c>
      <c r="B296" s="75"/>
      <c r="C296" s="76" t="s">
        <v>87</v>
      </c>
      <c r="D296" s="76" t="s">
        <v>1706</v>
      </c>
      <c r="E296" s="75" t="s">
        <v>1707</v>
      </c>
      <c r="F296" s="75" t="e">
        <f t="shared" si="48"/>
        <v>#VALUE!</v>
      </c>
      <c r="G296" s="77">
        <v>0.88</v>
      </c>
      <c r="H296" s="78" t="e">
        <f t="shared" si="39"/>
        <v>#VALUE!</v>
      </c>
      <c r="I296" s="78" t="e">
        <f t="shared" si="40"/>
        <v>#VALUE!</v>
      </c>
      <c r="J296" s="75"/>
      <c r="K296" s="79">
        <f>34575.77</f>
        <v>34575.769999999997</v>
      </c>
      <c r="L296" s="79">
        <f t="shared" si="41"/>
        <v>30426.677599999999</v>
      </c>
      <c r="M296" s="76"/>
      <c r="N296" s="75" t="s">
        <v>42</v>
      </c>
      <c r="O296" s="80" t="s">
        <v>1708</v>
      </c>
      <c r="P296" s="81">
        <v>34213</v>
      </c>
      <c r="Q296" s="80" t="s">
        <v>336</v>
      </c>
      <c r="R296" s="81"/>
      <c r="S296" s="81">
        <v>42062</v>
      </c>
      <c r="T296" s="81"/>
      <c r="U296" s="81"/>
      <c r="V296" s="76"/>
      <c r="W296" s="76"/>
      <c r="X296" s="5"/>
      <c r="Y296" s="5"/>
      <c r="Z296" s="76" t="s">
        <v>35</v>
      </c>
      <c r="AA296" s="82" t="s">
        <v>36</v>
      </c>
      <c r="AB296" s="83" t="s">
        <v>37</v>
      </c>
      <c r="AC296" s="84"/>
      <c r="AD296" s="76"/>
      <c r="AE296" s="76"/>
      <c r="AF296" s="76"/>
      <c r="AG296" s="84"/>
      <c r="AH296" s="76"/>
      <c r="AI296" s="76"/>
      <c r="AJ296" s="76"/>
      <c r="AK296" s="84"/>
      <c r="AL296" s="84"/>
      <c r="AM296" s="84"/>
      <c r="AN296" s="84"/>
      <c r="AO296" s="84"/>
    </row>
    <row r="297" spans="1:41" s="1" customFormat="1" ht="45" customHeight="1" x14ac:dyDescent="0.2">
      <c r="A297" s="75">
        <v>56</v>
      </c>
      <c r="B297" s="75"/>
      <c r="C297" s="76" t="s">
        <v>87</v>
      </c>
      <c r="D297" s="76" t="s">
        <v>1709</v>
      </c>
      <c r="E297" s="75" t="s">
        <v>1710</v>
      </c>
      <c r="F297" s="75" t="e">
        <f t="shared" si="48"/>
        <v>#VALUE!</v>
      </c>
      <c r="G297" s="77">
        <v>0.88</v>
      </c>
      <c r="H297" s="78" t="e">
        <f t="shared" si="39"/>
        <v>#VALUE!</v>
      </c>
      <c r="I297" s="78" t="e">
        <f t="shared" si="40"/>
        <v>#VALUE!</v>
      </c>
      <c r="J297" s="75" t="s">
        <v>13</v>
      </c>
      <c r="K297" s="79">
        <f>34575.77</f>
        <v>34575.769999999997</v>
      </c>
      <c r="L297" s="79">
        <f t="shared" si="41"/>
        <v>30426.677599999999</v>
      </c>
      <c r="M297" s="76"/>
      <c r="N297" s="75" t="s">
        <v>42</v>
      </c>
      <c r="O297" s="80" t="s">
        <v>1711</v>
      </c>
      <c r="P297" s="81">
        <v>34001</v>
      </c>
      <c r="Q297" s="80" t="s">
        <v>336</v>
      </c>
      <c r="R297" s="81"/>
      <c r="S297" s="81">
        <v>38047</v>
      </c>
      <c r="T297" s="81"/>
      <c r="U297" s="81"/>
      <c r="V297" s="76"/>
      <c r="W297" s="76"/>
      <c r="X297" s="5"/>
      <c r="Y297" s="5"/>
      <c r="Z297" s="76" t="s">
        <v>35</v>
      </c>
      <c r="AA297" s="82" t="s">
        <v>36</v>
      </c>
      <c r="AB297" s="83" t="s">
        <v>37</v>
      </c>
      <c r="AC297" s="84"/>
      <c r="AD297" s="76"/>
      <c r="AE297" s="76"/>
      <c r="AF297" s="76"/>
      <c r="AG297" s="84"/>
      <c r="AH297" s="76"/>
      <c r="AI297" s="76"/>
      <c r="AJ297" s="76"/>
      <c r="AK297" s="84"/>
      <c r="AL297" s="84"/>
      <c r="AM297" s="84"/>
      <c r="AN297" s="84"/>
      <c r="AO297" s="84"/>
    </row>
    <row r="298" spans="1:41" s="1" customFormat="1" ht="45" customHeight="1" x14ac:dyDescent="0.2">
      <c r="A298" s="75">
        <v>57</v>
      </c>
      <c r="B298" s="75"/>
      <c r="C298" s="76" t="s">
        <v>87</v>
      </c>
      <c r="D298" s="76" t="s">
        <v>1712</v>
      </c>
      <c r="E298" s="75" t="s">
        <v>1713</v>
      </c>
      <c r="F298" s="75" t="e">
        <f t="shared" si="48"/>
        <v>#VALUE!</v>
      </c>
      <c r="G298" s="77">
        <v>0.88</v>
      </c>
      <c r="H298" s="78" t="e">
        <f t="shared" si="39"/>
        <v>#VALUE!</v>
      </c>
      <c r="I298" s="78" t="e">
        <f>DATEDIF(S298,Q298,"y") &amp; " años " &amp; DATEDIF(S298,Q298,"ym") &amp; " meses " &amp; DATEDIF(S298,Q298,"md") &amp; " días"</f>
        <v>#VALUE!</v>
      </c>
      <c r="J298" s="75"/>
      <c r="K298" s="79">
        <f>34575.78</f>
        <v>34575.78</v>
      </c>
      <c r="L298" s="79">
        <f t="shared" si="41"/>
        <v>30426.686399999999</v>
      </c>
      <c r="M298" s="76"/>
      <c r="N298" s="75" t="s">
        <v>42</v>
      </c>
      <c r="O298" s="80" t="s">
        <v>1714</v>
      </c>
      <c r="P298" s="81">
        <v>36770</v>
      </c>
      <c r="Q298" s="80" t="s">
        <v>336</v>
      </c>
      <c r="R298" s="81"/>
      <c r="S298" s="81">
        <v>42427</v>
      </c>
      <c r="T298" s="81">
        <v>31904</v>
      </c>
      <c r="U298" s="81">
        <v>32987</v>
      </c>
      <c r="V298" s="76">
        <v>33806</v>
      </c>
      <c r="W298" s="76">
        <v>35447</v>
      </c>
      <c r="X298" s="5"/>
      <c r="Y298" s="5" t="s">
        <v>1032</v>
      </c>
      <c r="Z298" s="76" t="s">
        <v>1032</v>
      </c>
      <c r="AA298" s="82" t="s">
        <v>36</v>
      </c>
      <c r="AB298" s="83" t="s">
        <v>37</v>
      </c>
      <c r="AC298" s="84"/>
      <c r="AD298" s="76">
        <v>1</v>
      </c>
      <c r="AE298" s="76">
        <v>1</v>
      </c>
      <c r="AF298" s="76"/>
      <c r="AG298" s="84"/>
      <c r="AH298" s="76"/>
      <c r="AI298" s="76">
        <v>12</v>
      </c>
      <c r="AJ298" s="76">
        <v>30</v>
      </c>
      <c r="AK298" s="84"/>
      <c r="AL298" s="84"/>
      <c r="AM298" s="84"/>
      <c r="AN298" s="84"/>
      <c r="AO298" s="84"/>
    </row>
    <row r="299" spans="1:41" s="1" customFormat="1" ht="45" customHeight="1" x14ac:dyDescent="0.2">
      <c r="A299" s="75">
        <v>58</v>
      </c>
      <c r="B299" s="75"/>
      <c r="C299" s="76" t="s">
        <v>87</v>
      </c>
      <c r="D299" s="76" t="s">
        <v>1715</v>
      </c>
      <c r="E299" s="75" t="s">
        <v>1716</v>
      </c>
      <c r="F299" s="75" t="e">
        <f t="shared" ref="F299:F311" si="49">DATEDIF(P299,Q299,"y") + DATEDIF(T299,U299,"y") + DATEDIF(V299,W299,"y") + SUM(AD299) &amp; " años " &amp; DATEDIF(P299,Q299,"ym") + DATEDIF(T299,U299,"ym") + DATEDIF(V299,W299,"ym") + SUM(AE299) - SUM(AI299) &amp; " meses " &amp; DATEDIF(P299,Q299,"md") + DATEDIF(T299,U299,"md") + DATEDIF(V299,W299,"md") - SUM(AJ299) &amp; " días"</f>
        <v>#VALUE!</v>
      </c>
      <c r="G299" s="77">
        <v>0.65</v>
      </c>
      <c r="H299" s="78" t="e">
        <f t="shared" si="39"/>
        <v>#VALUE!</v>
      </c>
      <c r="I299" s="78" t="e">
        <f t="shared" ref="I299:I331" si="50">DATEDIF(S299,Q299,"y") &amp; " años " &amp; DATEDIF(S299,Q299,"ym") &amp; " meses " &amp; DATEDIF(S299,Q299,"md") &amp; " días"</f>
        <v>#VALUE!</v>
      </c>
      <c r="J299" s="75"/>
      <c r="K299" s="79">
        <v>32541.78</v>
      </c>
      <c r="L299" s="79">
        <f t="shared" si="41"/>
        <v>21152.156999999999</v>
      </c>
      <c r="M299" s="76"/>
      <c r="N299" s="75" t="s">
        <v>42</v>
      </c>
      <c r="O299" s="80" t="s">
        <v>1717</v>
      </c>
      <c r="P299" s="81">
        <v>37422</v>
      </c>
      <c r="Q299" s="80" t="s">
        <v>336</v>
      </c>
      <c r="R299" s="81"/>
      <c r="S299" s="81">
        <v>44619</v>
      </c>
      <c r="T299" s="81"/>
      <c r="U299" s="81"/>
      <c r="V299" s="76"/>
      <c r="W299" s="76"/>
      <c r="X299" s="5"/>
      <c r="Y299" s="5"/>
      <c r="Z299" s="76" t="s">
        <v>35</v>
      </c>
      <c r="AA299" s="82" t="s">
        <v>36</v>
      </c>
      <c r="AB299" s="83" t="s">
        <v>37</v>
      </c>
      <c r="AC299" s="84"/>
      <c r="AD299" s="76"/>
      <c r="AE299" s="76"/>
      <c r="AF299" s="76"/>
      <c r="AG299" s="84"/>
      <c r="AH299" s="76"/>
      <c r="AI299" s="76"/>
      <c r="AJ299" s="76"/>
      <c r="AK299" s="84"/>
      <c r="AL299" s="84"/>
      <c r="AM299" s="84"/>
      <c r="AN299" s="84"/>
      <c r="AO299" s="84"/>
    </row>
    <row r="300" spans="1:41" s="1" customFormat="1" ht="45" customHeight="1" x14ac:dyDescent="0.2">
      <c r="A300" s="75">
        <v>59</v>
      </c>
      <c r="B300" s="75"/>
      <c r="C300" s="76" t="s">
        <v>87</v>
      </c>
      <c r="D300" s="76" t="s">
        <v>1718</v>
      </c>
      <c r="E300" s="75" t="s">
        <v>1719</v>
      </c>
      <c r="F300" s="75" t="e">
        <f t="shared" si="49"/>
        <v>#VALUE!</v>
      </c>
      <c r="G300" s="77">
        <v>0.65</v>
      </c>
      <c r="H300" s="78" t="e">
        <f t="shared" si="39"/>
        <v>#VALUE!</v>
      </c>
      <c r="I300" s="78" t="e">
        <f t="shared" si="50"/>
        <v>#VALUE!</v>
      </c>
      <c r="J300" s="75"/>
      <c r="K300" s="79">
        <f>34575.77</f>
        <v>34575.769999999997</v>
      </c>
      <c r="L300" s="79">
        <f t="shared" si="41"/>
        <v>22474.250499999998</v>
      </c>
      <c r="M300" s="76"/>
      <c r="N300" s="75" t="s">
        <v>42</v>
      </c>
      <c r="O300" s="80" t="s">
        <v>1720</v>
      </c>
      <c r="P300" s="81">
        <v>41487</v>
      </c>
      <c r="Q300" s="80" t="s">
        <v>336</v>
      </c>
      <c r="R300" s="81"/>
      <c r="S300" s="81">
        <v>43523</v>
      </c>
      <c r="T300" s="81">
        <v>36069</v>
      </c>
      <c r="U300" s="81">
        <v>39871</v>
      </c>
      <c r="V300" s="76">
        <v>35674</v>
      </c>
      <c r="W300" s="76">
        <v>36055</v>
      </c>
      <c r="X300" s="5" t="s">
        <v>1286</v>
      </c>
      <c r="Y300" s="5"/>
      <c r="Z300" s="76" t="s">
        <v>35</v>
      </c>
      <c r="AA300" s="82" t="s">
        <v>36</v>
      </c>
      <c r="AB300" s="83" t="s">
        <v>37</v>
      </c>
      <c r="AC300" s="84"/>
      <c r="AD300" s="76">
        <v>1</v>
      </c>
      <c r="AE300" s="76">
        <v>1</v>
      </c>
      <c r="AF300" s="76"/>
      <c r="AG300" s="84"/>
      <c r="AH300" s="76"/>
      <c r="AI300" s="76">
        <v>12</v>
      </c>
      <c r="AJ300" s="76">
        <v>31</v>
      </c>
      <c r="AK300" s="84"/>
      <c r="AL300" s="84"/>
      <c r="AM300" s="84"/>
      <c r="AN300" s="84"/>
      <c r="AO300" s="84"/>
    </row>
    <row r="301" spans="1:41" s="1" customFormat="1" ht="45" customHeight="1" x14ac:dyDescent="0.2">
      <c r="A301" s="75">
        <v>60</v>
      </c>
      <c r="B301" s="75"/>
      <c r="C301" s="76" t="s">
        <v>87</v>
      </c>
      <c r="D301" s="76" t="s">
        <v>1721</v>
      </c>
      <c r="E301" s="75" t="s">
        <v>1722</v>
      </c>
      <c r="F301" s="75" t="e">
        <f t="shared" si="49"/>
        <v>#VALUE!</v>
      </c>
      <c r="G301" s="77">
        <v>0.7</v>
      </c>
      <c r="H301" s="78" t="e">
        <f t="shared" si="39"/>
        <v>#VALUE!</v>
      </c>
      <c r="I301" s="78" t="e">
        <f t="shared" si="50"/>
        <v>#VALUE!</v>
      </c>
      <c r="J301" s="75"/>
      <c r="K301" s="79">
        <v>32541.78</v>
      </c>
      <c r="L301" s="79">
        <f t="shared" si="41"/>
        <v>22779.245999999999</v>
      </c>
      <c r="M301" s="76"/>
      <c r="N301" s="75" t="s">
        <v>42</v>
      </c>
      <c r="O301" s="80" t="s">
        <v>1723</v>
      </c>
      <c r="P301" s="81">
        <v>37422</v>
      </c>
      <c r="Q301" s="80" t="s">
        <v>336</v>
      </c>
      <c r="R301" s="81"/>
      <c r="S301" s="81">
        <v>43888</v>
      </c>
      <c r="T301" s="81">
        <v>36557</v>
      </c>
      <c r="U301" s="81">
        <v>37271</v>
      </c>
      <c r="V301" s="76"/>
      <c r="W301" s="76"/>
      <c r="X301" s="5" t="s">
        <v>1286</v>
      </c>
      <c r="Y301" s="5" t="s">
        <v>1032</v>
      </c>
      <c r="Z301" s="76" t="s">
        <v>1032</v>
      </c>
      <c r="AA301" s="82" t="s">
        <v>36</v>
      </c>
      <c r="AB301" s="83" t="s">
        <v>37</v>
      </c>
      <c r="AC301" s="84"/>
      <c r="AD301" s="76">
        <v>1</v>
      </c>
      <c r="AE301" s="76"/>
      <c r="AF301" s="76"/>
      <c r="AG301" s="84"/>
      <c r="AH301" s="76"/>
      <c r="AI301" s="76">
        <v>12</v>
      </c>
      <c r="AJ301" s="76"/>
      <c r="AK301" s="84"/>
      <c r="AL301" s="84"/>
      <c r="AM301" s="84"/>
      <c r="AN301" s="84"/>
      <c r="AO301" s="84"/>
    </row>
    <row r="302" spans="1:41" s="1" customFormat="1" ht="45" customHeight="1" x14ac:dyDescent="0.2">
      <c r="A302" s="75">
        <v>61</v>
      </c>
      <c r="B302" s="75"/>
      <c r="C302" s="76" t="s">
        <v>87</v>
      </c>
      <c r="D302" s="76" t="s">
        <v>1724</v>
      </c>
      <c r="E302" s="75" t="s">
        <v>1725</v>
      </c>
      <c r="F302" s="75" t="e">
        <f t="shared" si="49"/>
        <v>#VALUE!</v>
      </c>
      <c r="G302" s="85">
        <v>0.67500000000000004</v>
      </c>
      <c r="H302" s="78" t="e">
        <f t="shared" si="39"/>
        <v>#VALUE!</v>
      </c>
      <c r="I302" s="78" t="e">
        <f t="shared" si="50"/>
        <v>#VALUE!</v>
      </c>
      <c r="J302" s="75"/>
      <c r="K302" s="79">
        <f>34575.03</f>
        <v>34575.03</v>
      </c>
      <c r="L302" s="79">
        <f t="shared" si="41"/>
        <v>23338.145250000001</v>
      </c>
      <c r="M302" s="76"/>
      <c r="N302" s="75" t="s">
        <v>42</v>
      </c>
      <c r="O302" s="80" t="s">
        <v>1726</v>
      </c>
      <c r="P302" s="81">
        <v>36800</v>
      </c>
      <c r="Q302" s="80" t="s">
        <v>336</v>
      </c>
      <c r="R302" s="81"/>
      <c r="S302" s="81">
        <v>42795</v>
      </c>
      <c r="T302" s="81"/>
      <c r="U302" s="81"/>
      <c r="V302" s="76"/>
      <c r="W302" s="76"/>
      <c r="X302" s="5"/>
      <c r="Y302" s="5"/>
      <c r="Z302" s="76" t="s">
        <v>35</v>
      </c>
      <c r="AA302" s="82" t="s">
        <v>36</v>
      </c>
      <c r="AB302" s="83" t="s">
        <v>37</v>
      </c>
      <c r="AC302" s="84"/>
      <c r="AD302" s="76"/>
      <c r="AE302" s="76"/>
      <c r="AF302" s="76"/>
      <c r="AG302" s="84"/>
      <c r="AH302" s="76"/>
      <c r="AI302" s="76"/>
      <c r="AJ302" s="76"/>
      <c r="AK302" s="84"/>
      <c r="AL302" s="84"/>
      <c r="AM302" s="84"/>
      <c r="AN302" s="84"/>
      <c r="AO302" s="84"/>
    </row>
    <row r="303" spans="1:41" s="1" customFormat="1" ht="45" customHeight="1" x14ac:dyDescent="0.2">
      <c r="A303" s="75">
        <v>62</v>
      </c>
      <c r="B303" s="75"/>
      <c r="C303" s="76" t="s">
        <v>87</v>
      </c>
      <c r="D303" s="76" t="s">
        <v>1727</v>
      </c>
      <c r="E303" s="75" t="s">
        <v>1728</v>
      </c>
      <c r="F303" s="75" t="e">
        <f t="shared" si="49"/>
        <v>#VALUE!</v>
      </c>
      <c r="G303" s="77">
        <v>0.85</v>
      </c>
      <c r="H303" s="78" t="e">
        <f t="shared" si="39"/>
        <v>#VALUE!</v>
      </c>
      <c r="I303" s="78" t="e">
        <f t="shared" si="50"/>
        <v>#VALUE!</v>
      </c>
      <c r="J303" s="75"/>
      <c r="K303" s="79">
        <f>34575.78</f>
        <v>34575.78</v>
      </c>
      <c r="L303" s="79">
        <f t="shared" si="41"/>
        <v>29389.412999999997</v>
      </c>
      <c r="M303" s="76"/>
      <c r="N303" s="75" t="s">
        <v>42</v>
      </c>
      <c r="O303" s="80" t="s">
        <v>1729</v>
      </c>
      <c r="P303" s="81">
        <v>36647</v>
      </c>
      <c r="Q303" s="80" t="s">
        <v>336</v>
      </c>
      <c r="R303" s="81"/>
      <c r="S303" s="81">
        <v>43160</v>
      </c>
      <c r="T303" s="81">
        <v>34121</v>
      </c>
      <c r="U303" s="81">
        <v>36293</v>
      </c>
      <c r="V303" s="76"/>
      <c r="W303" s="76"/>
      <c r="X303" s="5" t="s">
        <v>1286</v>
      </c>
      <c r="Y303" s="5" t="s">
        <v>1032</v>
      </c>
      <c r="Z303" s="76" t="s">
        <v>1032</v>
      </c>
      <c r="AA303" s="82" t="s">
        <v>36</v>
      </c>
      <c r="AB303" s="83" t="s">
        <v>37</v>
      </c>
      <c r="AC303" s="84"/>
      <c r="AD303" s="76">
        <v>1</v>
      </c>
      <c r="AE303" s="76"/>
      <c r="AF303" s="76"/>
      <c r="AG303" s="84"/>
      <c r="AH303" s="76"/>
      <c r="AI303" s="76">
        <v>12</v>
      </c>
      <c r="AJ303" s="76"/>
      <c r="AK303" s="84"/>
      <c r="AL303" s="84"/>
      <c r="AM303" s="84"/>
      <c r="AN303" s="84"/>
      <c r="AO303" s="84"/>
    </row>
    <row r="304" spans="1:41" s="1" customFormat="1" ht="45" customHeight="1" x14ac:dyDescent="0.2">
      <c r="A304" s="75">
        <v>63</v>
      </c>
      <c r="B304" s="75"/>
      <c r="C304" s="76" t="s">
        <v>87</v>
      </c>
      <c r="D304" s="76" t="s">
        <v>1730</v>
      </c>
      <c r="E304" s="75" t="s">
        <v>1731</v>
      </c>
      <c r="F304" s="75" t="e">
        <f t="shared" si="49"/>
        <v>#VALUE!</v>
      </c>
      <c r="G304" s="85">
        <v>0.67500000000000004</v>
      </c>
      <c r="H304" s="78" t="e">
        <f t="shared" si="39"/>
        <v>#VALUE!</v>
      </c>
      <c r="I304" s="78" t="e">
        <f t="shared" si="50"/>
        <v>#VALUE!</v>
      </c>
      <c r="J304" s="75"/>
      <c r="K304" s="79">
        <f>34575.78</f>
        <v>34575.78</v>
      </c>
      <c r="L304" s="79">
        <f t="shared" si="41"/>
        <v>23338.6515</v>
      </c>
      <c r="M304" s="76"/>
      <c r="N304" s="75" t="s">
        <v>42</v>
      </c>
      <c r="O304" s="80" t="s">
        <v>1732</v>
      </c>
      <c r="P304" s="81">
        <v>36923</v>
      </c>
      <c r="Q304" s="80" t="s">
        <v>336</v>
      </c>
      <c r="R304" s="81"/>
      <c r="S304" s="81">
        <v>42795</v>
      </c>
      <c r="T304" s="81"/>
      <c r="U304" s="81"/>
      <c r="V304" s="76"/>
      <c r="W304" s="76"/>
      <c r="X304" s="5"/>
      <c r="Y304" s="5"/>
      <c r="Z304" s="76" t="s">
        <v>35</v>
      </c>
      <c r="AA304" s="82" t="s">
        <v>36</v>
      </c>
      <c r="AB304" s="83" t="s">
        <v>37</v>
      </c>
      <c r="AC304" s="84"/>
      <c r="AD304" s="76"/>
      <c r="AE304" s="76"/>
      <c r="AF304" s="76"/>
      <c r="AG304" s="84"/>
      <c r="AH304" s="76"/>
      <c r="AI304" s="76"/>
      <c r="AJ304" s="76"/>
      <c r="AK304" s="84"/>
      <c r="AL304" s="84"/>
      <c r="AM304" s="84"/>
      <c r="AN304" s="84"/>
      <c r="AO304" s="84"/>
    </row>
    <row r="305" spans="1:41" s="1" customFormat="1" ht="45" customHeight="1" x14ac:dyDescent="0.2">
      <c r="A305" s="75">
        <v>64</v>
      </c>
      <c r="B305" s="75"/>
      <c r="C305" s="76" t="s">
        <v>87</v>
      </c>
      <c r="D305" s="76" t="s">
        <v>1733</v>
      </c>
      <c r="E305" s="75" t="s">
        <v>1734</v>
      </c>
      <c r="F305" s="75" t="e">
        <f t="shared" si="49"/>
        <v>#VALUE!</v>
      </c>
      <c r="G305" s="77">
        <v>0.75</v>
      </c>
      <c r="H305" s="78" t="e">
        <f t="shared" si="39"/>
        <v>#VALUE!</v>
      </c>
      <c r="I305" s="78" t="e">
        <f t="shared" si="50"/>
        <v>#VALUE!</v>
      </c>
      <c r="J305" s="75"/>
      <c r="K305" s="79">
        <f>34575.78</f>
        <v>34575.78</v>
      </c>
      <c r="L305" s="79">
        <f t="shared" si="41"/>
        <v>25931.834999999999</v>
      </c>
      <c r="M305" s="76"/>
      <c r="N305" s="75" t="s">
        <v>42</v>
      </c>
      <c r="O305" s="80" t="s">
        <v>1735</v>
      </c>
      <c r="P305" s="81">
        <v>36039</v>
      </c>
      <c r="Q305" s="80" t="s">
        <v>336</v>
      </c>
      <c r="R305" s="81"/>
      <c r="S305" s="81">
        <v>43160</v>
      </c>
      <c r="T305" s="81"/>
      <c r="U305" s="81"/>
      <c r="V305" s="76"/>
      <c r="W305" s="76"/>
      <c r="X305" s="5"/>
      <c r="Y305" s="5" t="s">
        <v>1032</v>
      </c>
      <c r="Z305" s="76" t="s">
        <v>1032</v>
      </c>
      <c r="AA305" s="82" t="s">
        <v>36</v>
      </c>
      <c r="AB305" s="83" t="s">
        <v>37</v>
      </c>
      <c r="AC305" s="84"/>
      <c r="AD305" s="76"/>
      <c r="AE305" s="76"/>
      <c r="AF305" s="76"/>
      <c r="AG305" s="84"/>
      <c r="AH305" s="76"/>
      <c r="AI305" s="76"/>
      <c r="AJ305" s="76"/>
      <c r="AK305" s="84"/>
      <c r="AL305" s="84"/>
      <c r="AM305" s="84"/>
      <c r="AN305" s="84"/>
      <c r="AO305" s="84"/>
    </row>
    <row r="306" spans="1:41" s="1" customFormat="1" ht="45" customHeight="1" x14ac:dyDescent="0.2">
      <c r="A306" s="75">
        <v>65</v>
      </c>
      <c r="B306" s="75"/>
      <c r="C306" s="76" t="s">
        <v>87</v>
      </c>
      <c r="D306" s="76" t="s">
        <v>1736</v>
      </c>
      <c r="E306" s="75" t="s">
        <v>1737</v>
      </c>
      <c r="F306" s="75" t="e">
        <f t="shared" si="49"/>
        <v>#VALUE!</v>
      </c>
      <c r="G306" s="85">
        <v>0.625</v>
      </c>
      <c r="H306" s="78" t="e">
        <f t="shared" ref="H306:H331" si="51">DATEDIF(R306,Q306,"y") &amp; " años " &amp; DATEDIF(R306,Q306,"ym") &amp; " meses " &amp; DATEDIF(R306,Q306,"md") &amp; " días"</f>
        <v>#VALUE!</v>
      </c>
      <c r="I306" s="78" t="e">
        <f t="shared" si="50"/>
        <v>#VALUE!</v>
      </c>
      <c r="J306" s="75"/>
      <c r="K306" s="79">
        <v>32541.78</v>
      </c>
      <c r="L306" s="79">
        <f t="shared" ref="L306:L331" si="52">K306*G306</f>
        <v>20338.612499999999</v>
      </c>
      <c r="M306" s="76"/>
      <c r="N306" s="75" t="s">
        <v>42</v>
      </c>
      <c r="O306" s="80" t="s">
        <v>1738</v>
      </c>
      <c r="P306" s="81">
        <v>37803</v>
      </c>
      <c r="Q306" s="80" t="s">
        <v>336</v>
      </c>
      <c r="R306" s="81"/>
      <c r="S306" s="81">
        <v>44619</v>
      </c>
      <c r="T306" s="81"/>
      <c r="U306" s="81"/>
      <c r="V306" s="76"/>
      <c r="W306" s="76"/>
      <c r="X306" s="5"/>
      <c r="Y306" s="5"/>
      <c r="Z306" s="76" t="s">
        <v>35</v>
      </c>
      <c r="AA306" s="82" t="s">
        <v>36</v>
      </c>
      <c r="AB306" s="83" t="s">
        <v>37</v>
      </c>
      <c r="AC306" s="84"/>
      <c r="AD306" s="76"/>
      <c r="AE306" s="76"/>
      <c r="AF306" s="76"/>
      <c r="AG306" s="84"/>
      <c r="AH306" s="76"/>
      <c r="AI306" s="76"/>
      <c r="AJ306" s="76"/>
      <c r="AK306" s="84"/>
      <c r="AL306" s="84"/>
      <c r="AM306" s="84"/>
      <c r="AN306" s="84"/>
      <c r="AO306" s="84"/>
    </row>
    <row r="307" spans="1:41" s="1" customFormat="1" ht="45" customHeight="1" x14ac:dyDescent="0.2">
      <c r="A307" s="75">
        <v>66</v>
      </c>
      <c r="B307" s="75"/>
      <c r="C307" s="76" t="s">
        <v>87</v>
      </c>
      <c r="D307" s="76" t="s">
        <v>1739</v>
      </c>
      <c r="E307" s="75" t="s">
        <v>1740</v>
      </c>
      <c r="F307" s="75" t="e">
        <f t="shared" si="49"/>
        <v>#VALUE!</v>
      </c>
      <c r="G307" s="77">
        <v>0.7</v>
      </c>
      <c r="H307" s="78" t="e">
        <f t="shared" si="51"/>
        <v>#VALUE!</v>
      </c>
      <c r="I307" s="78" t="e">
        <f t="shared" si="50"/>
        <v>#VALUE!</v>
      </c>
      <c r="J307" s="75"/>
      <c r="K307" s="79">
        <f>34575.78</f>
        <v>34575.78</v>
      </c>
      <c r="L307" s="79">
        <f t="shared" si="52"/>
        <v>24203.045999999998</v>
      </c>
      <c r="M307" s="76"/>
      <c r="N307" s="75" t="s">
        <v>42</v>
      </c>
      <c r="O307" s="80" t="s">
        <v>1741</v>
      </c>
      <c r="P307" s="81">
        <v>36557</v>
      </c>
      <c r="Q307" s="80" t="s">
        <v>336</v>
      </c>
      <c r="R307" s="81"/>
      <c r="S307" s="81">
        <v>42795</v>
      </c>
      <c r="T307" s="81"/>
      <c r="U307" s="81"/>
      <c r="V307" s="76"/>
      <c r="W307" s="76"/>
      <c r="X307" s="5"/>
      <c r="Y307" s="5" t="s">
        <v>1032</v>
      </c>
      <c r="Z307" s="76" t="s">
        <v>1032</v>
      </c>
      <c r="AA307" s="82" t="s">
        <v>36</v>
      </c>
      <c r="AB307" s="83" t="s">
        <v>37</v>
      </c>
      <c r="AC307" s="84"/>
      <c r="AD307" s="76"/>
      <c r="AE307" s="76"/>
      <c r="AF307" s="76"/>
      <c r="AG307" s="84"/>
      <c r="AH307" s="76"/>
      <c r="AI307" s="76"/>
      <c r="AJ307" s="76"/>
      <c r="AK307" s="84"/>
      <c r="AL307" s="84"/>
      <c r="AM307" s="84"/>
      <c r="AN307" s="84"/>
      <c r="AO307" s="84"/>
    </row>
    <row r="308" spans="1:41" s="1" customFormat="1" ht="45" customHeight="1" x14ac:dyDescent="0.2">
      <c r="A308" s="75">
        <v>67</v>
      </c>
      <c r="B308" s="75"/>
      <c r="C308" s="76" t="s">
        <v>87</v>
      </c>
      <c r="D308" s="76" t="s">
        <v>1742</v>
      </c>
      <c r="E308" s="75" t="s">
        <v>1743</v>
      </c>
      <c r="F308" s="75" t="e">
        <f t="shared" si="49"/>
        <v>#VALUE!</v>
      </c>
      <c r="G308" s="77">
        <v>0.75</v>
      </c>
      <c r="H308" s="78" t="e">
        <f t="shared" si="51"/>
        <v>#VALUE!</v>
      </c>
      <c r="I308" s="78" t="e">
        <f t="shared" si="50"/>
        <v>#VALUE!</v>
      </c>
      <c r="J308" s="75"/>
      <c r="K308" s="79">
        <f>34575.78</f>
        <v>34575.78</v>
      </c>
      <c r="L308" s="79">
        <f t="shared" si="52"/>
        <v>25931.834999999999</v>
      </c>
      <c r="M308" s="76"/>
      <c r="N308" s="75" t="s">
        <v>42</v>
      </c>
      <c r="O308" s="80" t="s">
        <v>1744</v>
      </c>
      <c r="P308" s="81">
        <v>36039</v>
      </c>
      <c r="Q308" s="80" t="s">
        <v>336</v>
      </c>
      <c r="R308" s="81"/>
      <c r="S308" s="81">
        <v>43160</v>
      </c>
      <c r="T308" s="81"/>
      <c r="U308" s="81"/>
      <c r="V308" s="76"/>
      <c r="W308" s="76"/>
      <c r="X308" s="5" t="s">
        <v>1286</v>
      </c>
      <c r="Y308" s="5" t="s">
        <v>1032</v>
      </c>
      <c r="Z308" s="76" t="s">
        <v>1032</v>
      </c>
      <c r="AA308" s="82" t="s">
        <v>36</v>
      </c>
      <c r="AB308" s="83" t="s">
        <v>37</v>
      </c>
      <c r="AC308" s="84"/>
      <c r="AD308" s="76"/>
      <c r="AE308" s="76"/>
      <c r="AF308" s="76"/>
      <c r="AG308" s="84"/>
      <c r="AH308" s="76"/>
      <c r="AI308" s="76"/>
      <c r="AJ308" s="76"/>
      <c r="AK308" s="84"/>
      <c r="AL308" s="84"/>
      <c r="AM308" s="84"/>
      <c r="AN308" s="84"/>
      <c r="AO308" s="84"/>
    </row>
    <row r="309" spans="1:41" s="1" customFormat="1" ht="45" customHeight="1" x14ac:dyDescent="0.2">
      <c r="A309" s="75">
        <v>68</v>
      </c>
      <c r="B309" s="75"/>
      <c r="C309" s="76" t="s">
        <v>87</v>
      </c>
      <c r="D309" s="76" t="s">
        <v>1745</v>
      </c>
      <c r="E309" s="75" t="s">
        <v>1746</v>
      </c>
      <c r="F309" s="75" t="e">
        <f t="shared" si="49"/>
        <v>#VALUE!</v>
      </c>
      <c r="G309" s="85">
        <v>0.72499999999999998</v>
      </c>
      <c r="H309" s="78" t="e">
        <f t="shared" si="51"/>
        <v>#VALUE!</v>
      </c>
      <c r="I309" s="78" t="e">
        <f t="shared" si="50"/>
        <v>#VALUE!</v>
      </c>
      <c r="J309" s="75"/>
      <c r="K309" s="79">
        <v>32541.78</v>
      </c>
      <c r="L309" s="79">
        <f t="shared" si="52"/>
        <v>23592.790499999999</v>
      </c>
      <c r="M309" s="76"/>
      <c r="N309" s="75" t="s">
        <v>42</v>
      </c>
      <c r="O309" s="80" t="s">
        <v>1747</v>
      </c>
      <c r="P309" s="81">
        <v>36100</v>
      </c>
      <c r="Q309" s="80" t="s">
        <v>336</v>
      </c>
      <c r="R309" s="81"/>
      <c r="S309" s="81">
        <v>43888</v>
      </c>
      <c r="T309" s="81"/>
      <c r="U309" s="81"/>
      <c r="V309" s="76"/>
      <c r="W309" s="76"/>
      <c r="X309" s="5"/>
      <c r="Y309" s="5" t="s">
        <v>1032</v>
      </c>
      <c r="Z309" s="76" t="s">
        <v>1032</v>
      </c>
      <c r="AA309" s="82" t="s">
        <v>36</v>
      </c>
      <c r="AB309" s="83" t="s">
        <v>37</v>
      </c>
      <c r="AC309" s="84"/>
      <c r="AD309" s="76"/>
      <c r="AE309" s="76"/>
      <c r="AF309" s="76"/>
      <c r="AG309" s="84"/>
      <c r="AH309" s="76"/>
      <c r="AI309" s="76"/>
      <c r="AJ309" s="76"/>
      <c r="AK309" s="84"/>
      <c r="AL309" s="84"/>
      <c r="AM309" s="84"/>
      <c r="AN309" s="84"/>
      <c r="AO309" s="84"/>
    </row>
    <row r="310" spans="1:41" s="1" customFormat="1" ht="45" customHeight="1" x14ac:dyDescent="0.2">
      <c r="A310" s="75">
        <v>69</v>
      </c>
      <c r="B310" s="75"/>
      <c r="C310" s="76" t="s">
        <v>87</v>
      </c>
      <c r="D310" s="76" t="s">
        <v>1748</v>
      </c>
      <c r="E310" s="75" t="s">
        <v>1749</v>
      </c>
      <c r="F310" s="75" t="e">
        <f t="shared" si="49"/>
        <v>#VALUE!</v>
      </c>
      <c r="G310" s="85">
        <v>0.72499999999999998</v>
      </c>
      <c r="H310" s="78" t="e">
        <f t="shared" si="51"/>
        <v>#VALUE!</v>
      </c>
      <c r="I310" s="78" t="e">
        <f t="shared" si="50"/>
        <v>#VALUE!</v>
      </c>
      <c r="J310" s="75"/>
      <c r="K310" s="79">
        <f t="shared" ref="K310" si="53">34575.78+8000</f>
        <v>42575.78</v>
      </c>
      <c r="L310" s="79">
        <f t="shared" si="52"/>
        <v>30867.440499999997</v>
      </c>
      <c r="M310" s="76"/>
      <c r="N310" s="75" t="s">
        <v>42</v>
      </c>
      <c r="O310" s="80" t="s">
        <v>1750</v>
      </c>
      <c r="P310" s="81">
        <v>36100</v>
      </c>
      <c r="Q310" s="80" t="s">
        <v>336</v>
      </c>
      <c r="R310" s="81"/>
      <c r="S310" s="81">
        <v>42427</v>
      </c>
      <c r="T310" s="81"/>
      <c r="U310" s="81"/>
      <c r="V310" s="76"/>
      <c r="W310" s="76"/>
      <c r="X310" s="5"/>
      <c r="Y310" s="5" t="s">
        <v>1032</v>
      </c>
      <c r="Z310" s="76" t="s">
        <v>1032</v>
      </c>
      <c r="AA310" s="82" t="s">
        <v>36</v>
      </c>
      <c r="AB310" s="83" t="s">
        <v>37</v>
      </c>
      <c r="AC310" s="84"/>
      <c r="AD310" s="76"/>
      <c r="AE310" s="76"/>
      <c r="AF310" s="76"/>
      <c r="AG310" s="84"/>
      <c r="AH310" s="76"/>
      <c r="AI310" s="76"/>
      <c r="AJ310" s="76"/>
      <c r="AK310" s="84"/>
      <c r="AL310" s="84"/>
      <c r="AM310" s="84"/>
      <c r="AN310" s="84"/>
      <c r="AO310" s="84"/>
    </row>
    <row r="311" spans="1:41" s="1" customFormat="1" ht="45" customHeight="1" x14ac:dyDescent="0.2">
      <c r="A311" s="75">
        <v>70</v>
      </c>
      <c r="B311" s="75"/>
      <c r="C311" s="76" t="s">
        <v>87</v>
      </c>
      <c r="D311" s="76" t="s">
        <v>1751</v>
      </c>
      <c r="E311" s="75" t="s">
        <v>1752</v>
      </c>
      <c r="F311" s="75" t="e">
        <f t="shared" si="49"/>
        <v>#VALUE!</v>
      </c>
      <c r="G311" s="77">
        <v>0.85</v>
      </c>
      <c r="H311" s="78" t="e">
        <f t="shared" si="51"/>
        <v>#VALUE!</v>
      </c>
      <c r="I311" s="78" t="e">
        <f t="shared" si="50"/>
        <v>#VALUE!</v>
      </c>
      <c r="J311" s="75"/>
      <c r="K311" s="79">
        <f>34575.78</f>
        <v>34575.78</v>
      </c>
      <c r="L311" s="79">
        <f t="shared" si="52"/>
        <v>29389.412999999997</v>
      </c>
      <c r="M311" s="76"/>
      <c r="N311" s="75" t="s">
        <v>42</v>
      </c>
      <c r="O311" s="80" t="s">
        <v>1753</v>
      </c>
      <c r="P311" s="81">
        <v>37330</v>
      </c>
      <c r="Q311" s="80" t="s">
        <v>336</v>
      </c>
      <c r="R311" s="81"/>
      <c r="S311" s="81">
        <v>42427</v>
      </c>
      <c r="T311" s="81">
        <v>33496</v>
      </c>
      <c r="U311" s="81">
        <v>36417</v>
      </c>
      <c r="V311" s="76"/>
      <c r="W311" s="76"/>
      <c r="X311" s="5"/>
      <c r="Y311" s="5" t="s">
        <v>1032</v>
      </c>
      <c r="Z311" s="76" t="s">
        <v>1032</v>
      </c>
      <c r="AA311" s="82" t="s">
        <v>36</v>
      </c>
      <c r="AB311" s="83" t="s">
        <v>37</v>
      </c>
      <c r="AC311" s="84"/>
      <c r="AD311" s="76">
        <v>1</v>
      </c>
      <c r="AE311" s="76">
        <v>1</v>
      </c>
      <c r="AF311" s="76"/>
      <c r="AG311" s="84"/>
      <c r="AH311" s="76"/>
      <c r="AI311" s="76">
        <v>12</v>
      </c>
      <c r="AJ311" s="76">
        <v>30</v>
      </c>
      <c r="AK311" s="84"/>
      <c r="AL311" s="84"/>
      <c r="AM311" s="84"/>
      <c r="AN311" s="84"/>
      <c r="AO311" s="84"/>
    </row>
    <row r="312" spans="1:41" s="1" customFormat="1" ht="45" customHeight="1" x14ac:dyDescent="0.2">
      <c r="A312" s="75">
        <v>71</v>
      </c>
      <c r="B312" s="75"/>
      <c r="C312" s="76" t="s">
        <v>87</v>
      </c>
      <c r="D312" s="76" t="s">
        <v>1754</v>
      </c>
      <c r="E312" s="75" t="s">
        <v>1755</v>
      </c>
      <c r="F312" s="75" t="e">
        <f t="shared" si="48"/>
        <v>#VALUE!</v>
      </c>
      <c r="G312" s="77">
        <v>0.88</v>
      </c>
      <c r="H312" s="78" t="e">
        <f t="shared" si="51"/>
        <v>#VALUE!</v>
      </c>
      <c r="I312" s="78" t="e">
        <f t="shared" si="50"/>
        <v>#VALUE!</v>
      </c>
      <c r="J312" s="75"/>
      <c r="K312" s="79">
        <f>34575.78</f>
        <v>34575.78</v>
      </c>
      <c r="L312" s="79">
        <f t="shared" si="52"/>
        <v>30426.686399999999</v>
      </c>
      <c r="M312" s="76"/>
      <c r="N312" s="75" t="s">
        <v>42</v>
      </c>
      <c r="O312" s="80" t="s">
        <v>1756</v>
      </c>
      <c r="P312" s="81">
        <v>34213</v>
      </c>
      <c r="Q312" s="80" t="s">
        <v>336</v>
      </c>
      <c r="R312" s="81"/>
      <c r="S312" s="81">
        <v>43160</v>
      </c>
      <c r="T312" s="81"/>
      <c r="U312" s="81"/>
      <c r="V312" s="76"/>
      <c r="W312" s="76"/>
      <c r="X312" s="5"/>
      <c r="Y312" s="5"/>
      <c r="Z312" s="76" t="s">
        <v>1032</v>
      </c>
      <c r="AA312" s="82" t="s">
        <v>36</v>
      </c>
      <c r="AB312" s="83" t="s">
        <v>37</v>
      </c>
      <c r="AC312" s="84"/>
      <c r="AD312" s="76"/>
      <c r="AE312" s="76"/>
      <c r="AF312" s="76"/>
      <c r="AG312" s="84"/>
      <c r="AH312" s="76"/>
      <c r="AI312" s="76"/>
      <c r="AJ312" s="76"/>
      <c r="AK312" s="84"/>
      <c r="AL312" s="84"/>
      <c r="AM312" s="84"/>
      <c r="AN312" s="84"/>
      <c r="AO312" s="84"/>
    </row>
    <row r="313" spans="1:41" s="1" customFormat="1" ht="45" customHeight="1" x14ac:dyDescent="0.2">
      <c r="A313" s="75">
        <v>72</v>
      </c>
      <c r="B313" s="75"/>
      <c r="C313" s="76" t="s">
        <v>87</v>
      </c>
      <c r="D313" s="76" t="s">
        <v>1757</v>
      </c>
      <c r="E313" s="75" t="s">
        <v>1758</v>
      </c>
      <c r="F313" s="75" t="e">
        <f t="shared" si="48"/>
        <v>#VALUE!</v>
      </c>
      <c r="G313" s="85">
        <v>1</v>
      </c>
      <c r="H313" s="78" t="e">
        <f t="shared" si="51"/>
        <v>#VALUE!</v>
      </c>
      <c r="I313" s="78" t="e">
        <f t="shared" si="50"/>
        <v>#VALUE!</v>
      </c>
      <c r="J313" s="75"/>
      <c r="K313" s="79">
        <f>34575.78</f>
        <v>34575.78</v>
      </c>
      <c r="L313" s="79">
        <f t="shared" si="52"/>
        <v>34575.78</v>
      </c>
      <c r="M313" s="76"/>
      <c r="N313" s="75" t="s">
        <v>1759</v>
      </c>
      <c r="O313" s="80" t="s">
        <v>1760</v>
      </c>
      <c r="P313" s="81">
        <v>35034</v>
      </c>
      <c r="Q313" s="80" t="s">
        <v>1951</v>
      </c>
      <c r="R313" s="81"/>
      <c r="S313" s="81">
        <v>42427</v>
      </c>
      <c r="T313" s="81">
        <v>33984</v>
      </c>
      <c r="U313" s="81">
        <v>35011</v>
      </c>
      <c r="V313" s="76"/>
      <c r="W313" s="76"/>
      <c r="X313" s="5" t="s">
        <v>1286</v>
      </c>
      <c r="Y313" s="5" t="s">
        <v>1032</v>
      </c>
      <c r="Z313" s="76" t="s">
        <v>1032</v>
      </c>
      <c r="AA313" s="82" t="s">
        <v>36</v>
      </c>
      <c r="AB313" s="83" t="s">
        <v>37</v>
      </c>
      <c r="AC313" s="84"/>
      <c r="AD313" s="76">
        <v>1</v>
      </c>
      <c r="AE313" s="76"/>
      <c r="AF313" s="76"/>
      <c r="AG313" s="84"/>
      <c r="AH313" s="76"/>
      <c r="AI313" s="76">
        <v>12</v>
      </c>
      <c r="AJ313" s="76"/>
      <c r="AK313" s="84"/>
      <c r="AL313" s="84"/>
      <c r="AM313" s="84"/>
      <c r="AN313" s="84"/>
      <c r="AO313" s="84"/>
    </row>
    <row r="314" spans="1:41" s="1" customFormat="1" ht="45" customHeight="1" x14ac:dyDescent="0.2">
      <c r="A314" s="75">
        <v>73</v>
      </c>
      <c r="B314" s="75"/>
      <c r="C314" s="76" t="s">
        <v>122</v>
      </c>
      <c r="D314" s="76" t="s">
        <v>1761</v>
      </c>
      <c r="E314" s="75" t="s">
        <v>1762</v>
      </c>
      <c r="F314" s="75" t="e">
        <f t="shared" ref="F314:F331" si="54">DATEDIF(P314,Q314,"y") + DATEDIF(T314,U314,"y") + DATEDIF(V314,W314,"y") + SUM(AD314) &amp; " años " &amp; DATEDIF(P314,Q314,"ym") + DATEDIF(T314,U314,"ym") + DATEDIF(V314,W314,"ym") + SUM(AE314) - SUM(AI314) &amp; " meses " &amp; DATEDIF(P314,Q314,"md") + DATEDIF(T314,U314,"md") + DATEDIF(V314,W314,"md") - SUM(AJ314) &amp; " días"</f>
        <v>#VALUE!</v>
      </c>
      <c r="G314" s="77">
        <v>0.75</v>
      </c>
      <c r="H314" s="78" t="e">
        <f t="shared" si="51"/>
        <v>#VALUE!</v>
      </c>
      <c r="I314" s="78" t="e">
        <f t="shared" si="50"/>
        <v>#VALUE!</v>
      </c>
      <c r="J314" s="75"/>
      <c r="K314" s="79">
        <v>32541.77</v>
      </c>
      <c r="L314" s="79">
        <f t="shared" si="52"/>
        <v>24406.327499999999</v>
      </c>
      <c r="M314" s="76"/>
      <c r="N314" s="75" t="s">
        <v>42</v>
      </c>
      <c r="O314" s="80" t="s">
        <v>1763</v>
      </c>
      <c r="P314" s="81">
        <v>36069</v>
      </c>
      <c r="Q314" s="80" t="s">
        <v>336</v>
      </c>
      <c r="R314" s="81"/>
      <c r="S314" s="81">
        <v>42427</v>
      </c>
      <c r="T314" s="81">
        <v>35074</v>
      </c>
      <c r="U314" s="81">
        <v>35396</v>
      </c>
      <c r="V314" s="76"/>
      <c r="W314" s="76"/>
      <c r="X314" s="5"/>
      <c r="Y314" s="5"/>
      <c r="Z314" s="76" t="s">
        <v>134</v>
      </c>
      <c r="AA314" s="82" t="s">
        <v>36</v>
      </c>
      <c r="AB314" s="83" t="s">
        <v>37</v>
      </c>
      <c r="AC314" s="84"/>
      <c r="AD314" s="76">
        <v>1</v>
      </c>
      <c r="AE314" s="76"/>
      <c r="AF314" s="76"/>
      <c r="AG314" s="84"/>
      <c r="AH314" s="76"/>
      <c r="AI314" s="76">
        <v>12</v>
      </c>
      <c r="AJ314" s="76"/>
      <c r="AK314" s="84"/>
      <c r="AL314" s="84"/>
      <c r="AM314" s="84"/>
      <c r="AN314" s="84"/>
      <c r="AO314" s="84"/>
    </row>
    <row r="315" spans="1:41" s="1" customFormat="1" ht="45" customHeight="1" x14ac:dyDescent="0.2">
      <c r="A315" s="75">
        <v>74</v>
      </c>
      <c r="B315" s="75"/>
      <c r="C315" s="76" t="s">
        <v>122</v>
      </c>
      <c r="D315" s="76" t="s">
        <v>1764</v>
      </c>
      <c r="E315" s="75" t="s">
        <v>1765</v>
      </c>
      <c r="F315" s="75" t="e">
        <f t="shared" si="54"/>
        <v>#VALUE!</v>
      </c>
      <c r="G315" s="85">
        <v>0.77500000000000002</v>
      </c>
      <c r="H315" s="78" t="e">
        <f t="shared" si="51"/>
        <v>#VALUE!</v>
      </c>
      <c r="I315" s="78" t="e">
        <f t="shared" si="50"/>
        <v>#VALUE!</v>
      </c>
      <c r="J315" s="75"/>
      <c r="K315" s="79">
        <v>32541.77</v>
      </c>
      <c r="L315" s="79">
        <f t="shared" si="52"/>
        <v>25219.871750000002</v>
      </c>
      <c r="M315" s="76"/>
      <c r="N315" s="75" t="s">
        <v>42</v>
      </c>
      <c r="O315" s="80" t="s">
        <v>1766</v>
      </c>
      <c r="P315" s="81">
        <v>35431</v>
      </c>
      <c r="Q315" s="80" t="s">
        <v>336</v>
      </c>
      <c r="R315" s="81"/>
      <c r="S315" s="81">
        <v>42427</v>
      </c>
      <c r="T315" s="81"/>
      <c r="U315" s="81"/>
      <c r="V315" s="76"/>
      <c r="W315" s="76"/>
      <c r="X315" s="5"/>
      <c r="Y315" s="5"/>
      <c r="Z315" s="76" t="s">
        <v>134</v>
      </c>
      <c r="AA315" s="82" t="s">
        <v>36</v>
      </c>
      <c r="AB315" s="83" t="s">
        <v>37</v>
      </c>
      <c r="AC315" s="84"/>
      <c r="AD315" s="76"/>
      <c r="AE315" s="76"/>
      <c r="AF315" s="76"/>
      <c r="AG315" s="84"/>
      <c r="AH315" s="76"/>
      <c r="AI315" s="76"/>
      <c r="AJ315" s="76"/>
      <c r="AK315" s="84"/>
      <c r="AL315" s="84"/>
      <c r="AM315" s="84"/>
      <c r="AN315" s="84"/>
      <c r="AO315" s="84"/>
    </row>
    <row r="316" spans="1:41" s="1" customFormat="1" ht="45" customHeight="1" x14ac:dyDescent="0.2">
      <c r="A316" s="75">
        <v>75</v>
      </c>
      <c r="B316" s="75"/>
      <c r="C316" s="76" t="s">
        <v>122</v>
      </c>
      <c r="D316" s="76" t="s">
        <v>1767</v>
      </c>
      <c r="E316" s="75" t="s">
        <v>1768</v>
      </c>
      <c r="F316" s="75" t="e">
        <f t="shared" si="54"/>
        <v>#VALUE!</v>
      </c>
      <c r="G316" s="77">
        <v>0.8</v>
      </c>
      <c r="H316" s="78" t="e">
        <f t="shared" si="51"/>
        <v>#VALUE!</v>
      </c>
      <c r="I316" s="78" t="e">
        <f t="shared" si="50"/>
        <v>#VALUE!</v>
      </c>
      <c r="J316" s="75"/>
      <c r="K316" s="79">
        <v>32541.78</v>
      </c>
      <c r="L316" s="79">
        <f t="shared" si="52"/>
        <v>26033.423999999999</v>
      </c>
      <c r="M316" s="76"/>
      <c r="N316" s="75" t="s">
        <v>42</v>
      </c>
      <c r="O316" s="80" t="s">
        <v>1769</v>
      </c>
      <c r="P316" s="81">
        <v>36647</v>
      </c>
      <c r="Q316" s="80" t="s">
        <v>336</v>
      </c>
      <c r="R316" s="81"/>
      <c r="S316" s="81">
        <v>42427</v>
      </c>
      <c r="T316" s="81">
        <v>34182</v>
      </c>
      <c r="U316" s="81">
        <v>35643</v>
      </c>
      <c r="V316" s="76">
        <v>35827</v>
      </c>
      <c r="W316" s="76">
        <v>35998</v>
      </c>
      <c r="X316" s="5" t="s">
        <v>1286</v>
      </c>
      <c r="Y316" s="5" t="s">
        <v>1032</v>
      </c>
      <c r="Z316" s="76" t="s">
        <v>48</v>
      </c>
      <c r="AA316" s="82" t="s">
        <v>36</v>
      </c>
      <c r="AB316" s="83" t="s">
        <v>37</v>
      </c>
      <c r="AC316" s="84"/>
      <c r="AD316" s="76">
        <v>1</v>
      </c>
      <c r="AE316" s="76"/>
      <c r="AF316" s="76"/>
      <c r="AG316" s="84"/>
      <c r="AH316" s="76"/>
      <c r="AI316" s="76">
        <v>12</v>
      </c>
      <c r="AJ316" s="76"/>
      <c r="AK316" s="84"/>
      <c r="AL316" s="84"/>
      <c r="AM316" s="84"/>
      <c r="AN316" s="84"/>
      <c r="AO316" s="84"/>
    </row>
    <row r="317" spans="1:41" s="1" customFormat="1" ht="45" customHeight="1" x14ac:dyDescent="0.2">
      <c r="A317" s="75">
        <v>76</v>
      </c>
      <c r="B317" s="75"/>
      <c r="C317" s="76" t="s">
        <v>122</v>
      </c>
      <c r="D317" s="76" t="s">
        <v>1770</v>
      </c>
      <c r="E317" s="75" t="s">
        <v>1771</v>
      </c>
      <c r="F317" s="75" t="e">
        <f t="shared" si="54"/>
        <v>#VALUE!</v>
      </c>
      <c r="G317" s="85">
        <v>0.72499999999999998</v>
      </c>
      <c r="H317" s="78" t="e">
        <f t="shared" si="51"/>
        <v>#VALUE!</v>
      </c>
      <c r="I317" s="78" t="e">
        <f t="shared" si="50"/>
        <v>#VALUE!</v>
      </c>
      <c r="J317" s="75"/>
      <c r="K317" s="79">
        <v>32541.78</v>
      </c>
      <c r="L317" s="79">
        <f t="shared" si="52"/>
        <v>23592.790499999999</v>
      </c>
      <c r="M317" s="76"/>
      <c r="N317" s="75" t="s">
        <v>42</v>
      </c>
      <c r="O317" s="80" t="s">
        <v>1772</v>
      </c>
      <c r="P317" s="81">
        <v>36100</v>
      </c>
      <c r="Q317" s="80" t="s">
        <v>336</v>
      </c>
      <c r="R317" s="81"/>
      <c r="S317" s="81">
        <v>42427</v>
      </c>
      <c r="T317" s="81"/>
      <c r="U317" s="81"/>
      <c r="V317" s="76"/>
      <c r="W317" s="76"/>
      <c r="X317" s="5" t="s">
        <v>1773</v>
      </c>
      <c r="Y317" s="5" t="s">
        <v>1032</v>
      </c>
      <c r="Z317" s="76" t="s">
        <v>48</v>
      </c>
      <c r="AA317" s="82" t="s">
        <v>36</v>
      </c>
      <c r="AB317" s="83" t="s">
        <v>37</v>
      </c>
      <c r="AC317" s="84"/>
      <c r="AD317" s="76"/>
      <c r="AE317" s="76"/>
      <c r="AF317" s="76"/>
      <c r="AG317" s="84"/>
      <c r="AH317" s="76"/>
      <c r="AI317" s="76"/>
      <c r="AJ317" s="76"/>
      <c r="AK317" s="84"/>
      <c r="AL317" s="84"/>
      <c r="AM317" s="84"/>
      <c r="AN317" s="84"/>
      <c r="AO317" s="84"/>
    </row>
    <row r="318" spans="1:41" s="1" customFormat="1" ht="45" customHeight="1" x14ac:dyDescent="0.2">
      <c r="A318" s="75">
        <v>77</v>
      </c>
      <c r="B318" s="75"/>
      <c r="C318" s="76" t="s">
        <v>122</v>
      </c>
      <c r="D318" s="76" t="s">
        <v>1774</v>
      </c>
      <c r="E318" s="75" t="s">
        <v>1775</v>
      </c>
      <c r="F318" s="75" t="e">
        <f t="shared" si="54"/>
        <v>#VALUE!</v>
      </c>
      <c r="G318" s="85">
        <v>0.72499999999999998</v>
      </c>
      <c r="H318" s="78" t="e">
        <f t="shared" si="51"/>
        <v>#VALUE!</v>
      </c>
      <c r="I318" s="78" t="e">
        <f t="shared" si="50"/>
        <v>#VALUE!</v>
      </c>
      <c r="J318" s="75"/>
      <c r="K318" s="79">
        <v>32541.78</v>
      </c>
      <c r="L318" s="79">
        <f t="shared" si="52"/>
        <v>23592.790499999999</v>
      </c>
      <c r="M318" s="76"/>
      <c r="N318" s="75" t="s">
        <v>42</v>
      </c>
      <c r="O318" s="80" t="s">
        <v>1776</v>
      </c>
      <c r="P318" s="81">
        <v>36100</v>
      </c>
      <c r="Q318" s="80" t="s">
        <v>336</v>
      </c>
      <c r="R318" s="81"/>
      <c r="S318" s="81">
        <v>42062</v>
      </c>
      <c r="T318" s="81"/>
      <c r="U318" s="81"/>
      <c r="V318" s="76"/>
      <c r="W318" s="76"/>
      <c r="X318" s="5"/>
      <c r="Y318" s="5"/>
      <c r="Z318" s="76" t="s">
        <v>134</v>
      </c>
      <c r="AA318" s="82" t="s">
        <v>36</v>
      </c>
      <c r="AB318" s="83" t="s">
        <v>37</v>
      </c>
      <c r="AC318" s="84"/>
      <c r="AD318" s="76"/>
      <c r="AE318" s="76"/>
      <c r="AF318" s="76"/>
      <c r="AG318" s="84"/>
      <c r="AH318" s="76"/>
      <c r="AI318" s="76"/>
      <c r="AJ318" s="76"/>
      <c r="AK318" s="84"/>
      <c r="AL318" s="84"/>
      <c r="AM318" s="84"/>
      <c r="AN318" s="84"/>
      <c r="AO318" s="84"/>
    </row>
    <row r="319" spans="1:41" s="1" customFormat="1" ht="45" customHeight="1" x14ac:dyDescent="0.2">
      <c r="A319" s="75">
        <v>78</v>
      </c>
      <c r="B319" s="75"/>
      <c r="C319" s="76" t="s">
        <v>122</v>
      </c>
      <c r="D319" s="76" t="s">
        <v>1777</v>
      </c>
      <c r="E319" s="75" t="s">
        <v>1778</v>
      </c>
      <c r="F319" s="75" t="e">
        <f t="shared" si="54"/>
        <v>#VALUE!</v>
      </c>
      <c r="G319" s="85">
        <v>0.72499999999999998</v>
      </c>
      <c r="H319" s="78" t="e">
        <f t="shared" si="51"/>
        <v>#VALUE!</v>
      </c>
      <c r="I319" s="78" t="e">
        <f t="shared" si="50"/>
        <v>#VALUE!</v>
      </c>
      <c r="J319" s="75"/>
      <c r="K319" s="79">
        <v>31510.28</v>
      </c>
      <c r="L319" s="79">
        <f t="shared" si="52"/>
        <v>22844.952999999998</v>
      </c>
      <c r="M319" s="76"/>
      <c r="N319" s="75" t="s">
        <v>42</v>
      </c>
      <c r="O319" s="80" t="s">
        <v>1779</v>
      </c>
      <c r="P319" s="81">
        <v>36479</v>
      </c>
      <c r="Q319" s="80" t="s">
        <v>336</v>
      </c>
      <c r="R319" s="81"/>
      <c r="S319" s="81">
        <v>43888</v>
      </c>
      <c r="T319" s="81">
        <v>35309</v>
      </c>
      <c r="U319" s="81">
        <v>35579</v>
      </c>
      <c r="V319" s="76"/>
      <c r="W319" s="76"/>
      <c r="X319" s="5"/>
      <c r="Y319" s="5" t="s">
        <v>134</v>
      </c>
      <c r="Z319" s="76" t="s">
        <v>134</v>
      </c>
      <c r="AA319" s="82" t="s">
        <v>36</v>
      </c>
      <c r="AB319" s="83" t="s">
        <v>37</v>
      </c>
      <c r="AC319" s="84"/>
      <c r="AD319" s="76">
        <v>1</v>
      </c>
      <c r="AE319" s="76">
        <v>1</v>
      </c>
      <c r="AF319" s="76"/>
      <c r="AG319" s="84"/>
      <c r="AH319" s="76"/>
      <c r="AI319" s="76">
        <v>12</v>
      </c>
      <c r="AJ319" s="76">
        <v>31</v>
      </c>
      <c r="AK319" s="84"/>
      <c r="AL319" s="84"/>
      <c r="AM319" s="84"/>
      <c r="AN319" s="84"/>
      <c r="AO319" s="84"/>
    </row>
    <row r="320" spans="1:41" s="1" customFormat="1" ht="45" customHeight="1" x14ac:dyDescent="0.2">
      <c r="A320" s="75">
        <v>79</v>
      </c>
      <c r="B320" s="75"/>
      <c r="C320" s="76" t="s">
        <v>122</v>
      </c>
      <c r="D320" s="76" t="s">
        <v>1780</v>
      </c>
      <c r="E320" s="75" t="s">
        <v>1781</v>
      </c>
      <c r="F320" s="75" t="e">
        <f t="shared" si="54"/>
        <v>#VALUE!</v>
      </c>
      <c r="G320" s="85">
        <v>0.72499999999999998</v>
      </c>
      <c r="H320" s="78" t="e">
        <f t="shared" si="51"/>
        <v>#VALUE!</v>
      </c>
      <c r="I320" s="78" t="e">
        <f t="shared" si="50"/>
        <v>#VALUE!</v>
      </c>
      <c r="J320" s="75"/>
      <c r="K320" s="79">
        <v>32541.78</v>
      </c>
      <c r="L320" s="79">
        <f t="shared" si="52"/>
        <v>23592.790499999999</v>
      </c>
      <c r="M320" s="76"/>
      <c r="N320" s="75" t="s">
        <v>42</v>
      </c>
      <c r="O320" s="80" t="s">
        <v>1782</v>
      </c>
      <c r="P320" s="81">
        <v>39387</v>
      </c>
      <c r="Q320" s="80" t="s">
        <v>336</v>
      </c>
      <c r="R320" s="81"/>
      <c r="S320" s="81">
        <v>42427</v>
      </c>
      <c r="T320" s="81">
        <v>34973</v>
      </c>
      <c r="U320" s="81">
        <v>35871</v>
      </c>
      <c r="V320" s="76">
        <v>36039</v>
      </c>
      <c r="W320" s="76">
        <v>38426</v>
      </c>
      <c r="X320" s="5" t="s">
        <v>1286</v>
      </c>
      <c r="Y320" s="5" t="s">
        <v>134</v>
      </c>
      <c r="Z320" s="76" t="s">
        <v>134</v>
      </c>
      <c r="AA320" s="82" t="s">
        <v>36</v>
      </c>
      <c r="AB320" s="83" t="s">
        <v>37</v>
      </c>
      <c r="AC320" s="84"/>
      <c r="AD320" s="76">
        <v>1</v>
      </c>
      <c r="AE320" s="76">
        <v>1</v>
      </c>
      <c r="AF320" s="76"/>
      <c r="AG320" s="84"/>
      <c r="AH320" s="76"/>
      <c r="AI320" s="76">
        <v>12</v>
      </c>
      <c r="AJ320" s="76">
        <v>30</v>
      </c>
      <c r="AK320" s="84"/>
      <c r="AL320" s="84"/>
      <c r="AM320" s="84"/>
      <c r="AN320" s="84"/>
      <c r="AO320" s="84"/>
    </row>
    <row r="321" spans="1:41" s="1" customFormat="1" ht="45" customHeight="1" x14ac:dyDescent="0.2">
      <c r="A321" s="75">
        <v>80</v>
      </c>
      <c r="B321" s="75"/>
      <c r="C321" s="76" t="s">
        <v>122</v>
      </c>
      <c r="D321" s="76" t="s">
        <v>1783</v>
      </c>
      <c r="E321" s="75" t="s">
        <v>1784</v>
      </c>
      <c r="F321" s="75" t="e">
        <f t="shared" si="54"/>
        <v>#VALUE!</v>
      </c>
      <c r="G321" s="85">
        <v>0.72499999999999998</v>
      </c>
      <c r="H321" s="78" t="e">
        <f t="shared" si="51"/>
        <v>#VALUE!</v>
      </c>
      <c r="I321" s="78" t="e">
        <f t="shared" si="50"/>
        <v>#VALUE!</v>
      </c>
      <c r="J321" s="75"/>
      <c r="K321" s="79">
        <v>32541.78</v>
      </c>
      <c r="L321" s="79">
        <f t="shared" si="52"/>
        <v>23592.790499999999</v>
      </c>
      <c r="M321" s="76"/>
      <c r="N321" s="75" t="s">
        <v>42</v>
      </c>
      <c r="O321" s="80" t="s">
        <v>1785</v>
      </c>
      <c r="P321" s="81">
        <v>36220</v>
      </c>
      <c r="Q321" s="80" t="s">
        <v>336</v>
      </c>
      <c r="R321" s="81"/>
      <c r="S321" s="81">
        <v>42427</v>
      </c>
      <c r="T321" s="81"/>
      <c r="U321" s="81"/>
      <c r="V321" s="76"/>
      <c r="W321" s="76"/>
      <c r="X321" s="5"/>
      <c r="Y321" s="5"/>
      <c r="Z321" s="76" t="s">
        <v>134</v>
      </c>
      <c r="AA321" s="82" t="s">
        <v>36</v>
      </c>
      <c r="AB321" s="83" t="s">
        <v>37</v>
      </c>
      <c r="AC321" s="84"/>
      <c r="AD321" s="76"/>
      <c r="AE321" s="76"/>
      <c r="AF321" s="76"/>
      <c r="AG321" s="84"/>
      <c r="AH321" s="76"/>
      <c r="AI321" s="76"/>
      <c r="AJ321" s="76"/>
      <c r="AK321" s="84"/>
      <c r="AL321" s="84"/>
      <c r="AM321" s="84"/>
      <c r="AN321" s="84"/>
      <c r="AO321" s="84"/>
    </row>
    <row r="322" spans="1:41" s="1" customFormat="1" ht="45" customHeight="1" x14ac:dyDescent="0.2">
      <c r="A322" s="75">
        <v>81</v>
      </c>
      <c r="B322" s="75"/>
      <c r="C322" s="76" t="s">
        <v>122</v>
      </c>
      <c r="D322" s="76" t="s">
        <v>1786</v>
      </c>
      <c r="E322" s="75" t="s">
        <v>1787</v>
      </c>
      <c r="F322" s="75" t="e">
        <f t="shared" si="54"/>
        <v>#VALUE!</v>
      </c>
      <c r="G322" s="77">
        <v>0.75</v>
      </c>
      <c r="H322" s="78" t="e">
        <f t="shared" si="51"/>
        <v>#VALUE!</v>
      </c>
      <c r="I322" s="78" t="e">
        <f t="shared" si="50"/>
        <v>#VALUE!</v>
      </c>
      <c r="J322" s="75"/>
      <c r="K322" s="79">
        <v>32541.77</v>
      </c>
      <c r="L322" s="79">
        <f t="shared" si="52"/>
        <v>24406.327499999999</v>
      </c>
      <c r="M322" s="76"/>
      <c r="N322" s="75" t="s">
        <v>42</v>
      </c>
      <c r="O322" s="80" t="s">
        <v>1788</v>
      </c>
      <c r="P322" s="81">
        <v>38231</v>
      </c>
      <c r="Q322" s="80" t="s">
        <v>336</v>
      </c>
      <c r="R322" s="81"/>
      <c r="S322" s="81">
        <v>42062</v>
      </c>
      <c r="T322" s="81">
        <v>34001</v>
      </c>
      <c r="U322" s="81">
        <v>35886</v>
      </c>
      <c r="V322" s="76">
        <v>35887</v>
      </c>
      <c r="W322" s="76">
        <v>36301</v>
      </c>
      <c r="X322" s="5"/>
      <c r="Y322" s="5" t="s">
        <v>134</v>
      </c>
      <c r="Z322" s="76" t="s">
        <v>134</v>
      </c>
      <c r="AA322" s="82" t="s">
        <v>36</v>
      </c>
      <c r="AB322" s="83" t="s">
        <v>37</v>
      </c>
      <c r="AC322" s="84"/>
      <c r="AD322" s="76"/>
      <c r="AE322" s="76"/>
      <c r="AF322" s="76"/>
      <c r="AG322" s="84"/>
      <c r="AH322" s="76"/>
      <c r="AI322" s="76"/>
      <c r="AJ322" s="76"/>
      <c r="AK322" s="84"/>
      <c r="AL322" s="84"/>
      <c r="AM322" s="84"/>
      <c r="AN322" s="84"/>
      <c r="AO322" s="84"/>
    </row>
    <row r="323" spans="1:41" s="1" customFormat="1" ht="45" customHeight="1" x14ac:dyDescent="0.2">
      <c r="A323" s="75">
        <v>82</v>
      </c>
      <c r="B323" s="75"/>
      <c r="C323" s="76" t="s">
        <v>122</v>
      </c>
      <c r="D323" s="76" t="s">
        <v>1789</v>
      </c>
      <c r="E323" s="75" t="s">
        <v>1790</v>
      </c>
      <c r="F323" s="75" t="e">
        <f t="shared" si="54"/>
        <v>#VALUE!</v>
      </c>
      <c r="G323" s="85">
        <v>0.72499999999999998</v>
      </c>
      <c r="H323" s="78" t="e">
        <f t="shared" si="51"/>
        <v>#VALUE!</v>
      </c>
      <c r="I323" s="78" t="e">
        <f t="shared" si="50"/>
        <v>#VALUE!</v>
      </c>
      <c r="J323" s="75"/>
      <c r="K323" s="79">
        <v>32541.78</v>
      </c>
      <c r="L323" s="79">
        <f t="shared" si="52"/>
        <v>23592.790499999999</v>
      </c>
      <c r="M323" s="76"/>
      <c r="N323" s="75" t="s">
        <v>42</v>
      </c>
      <c r="O323" s="80" t="s">
        <v>1791</v>
      </c>
      <c r="P323" s="81">
        <v>36100</v>
      </c>
      <c r="Q323" s="80" t="s">
        <v>336</v>
      </c>
      <c r="R323" s="81"/>
      <c r="S323" s="81">
        <v>42062</v>
      </c>
      <c r="T323" s="81"/>
      <c r="U323" s="81"/>
      <c r="V323" s="76"/>
      <c r="W323" s="76"/>
      <c r="X323" s="5"/>
      <c r="Y323" s="5" t="s">
        <v>134</v>
      </c>
      <c r="Z323" s="76" t="s">
        <v>134</v>
      </c>
      <c r="AA323" s="82" t="s">
        <v>36</v>
      </c>
      <c r="AB323" s="83" t="s">
        <v>37</v>
      </c>
      <c r="AC323" s="84"/>
      <c r="AD323" s="76"/>
      <c r="AE323" s="76"/>
      <c r="AF323" s="76"/>
      <c r="AG323" s="84"/>
      <c r="AH323" s="76"/>
      <c r="AI323" s="76"/>
      <c r="AJ323" s="76"/>
      <c r="AK323" s="84"/>
      <c r="AL323" s="84"/>
      <c r="AM323" s="84"/>
      <c r="AN323" s="84"/>
      <c r="AO323" s="84"/>
    </row>
    <row r="324" spans="1:41" s="1" customFormat="1" ht="45" customHeight="1" x14ac:dyDescent="0.2">
      <c r="A324" s="75">
        <v>83</v>
      </c>
      <c r="B324" s="75"/>
      <c r="C324" s="76" t="s">
        <v>122</v>
      </c>
      <c r="D324" s="76" t="s">
        <v>1792</v>
      </c>
      <c r="E324" s="75" t="s">
        <v>1793</v>
      </c>
      <c r="F324" s="75" t="e">
        <f t="shared" si="54"/>
        <v>#VALUE!</v>
      </c>
      <c r="G324" s="85">
        <v>0.72499999999999998</v>
      </c>
      <c r="H324" s="78" t="e">
        <f t="shared" si="51"/>
        <v>#VALUE!</v>
      </c>
      <c r="I324" s="78" t="e">
        <f t="shared" si="50"/>
        <v>#VALUE!</v>
      </c>
      <c r="J324" s="75"/>
      <c r="K324" s="79">
        <v>32541.78</v>
      </c>
      <c r="L324" s="79">
        <f t="shared" si="52"/>
        <v>23592.790499999999</v>
      </c>
      <c r="M324" s="76"/>
      <c r="N324" s="75" t="s">
        <v>42</v>
      </c>
      <c r="O324" s="80" t="s">
        <v>1794</v>
      </c>
      <c r="P324" s="81">
        <v>36220</v>
      </c>
      <c r="Q324" s="80" t="s">
        <v>336</v>
      </c>
      <c r="R324" s="81"/>
      <c r="S324" s="81">
        <v>42427</v>
      </c>
      <c r="T324" s="81"/>
      <c r="U324" s="81"/>
      <c r="V324" s="76"/>
      <c r="W324" s="76"/>
      <c r="X324" s="5"/>
      <c r="Y324" s="5"/>
      <c r="Z324" s="76" t="s">
        <v>134</v>
      </c>
      <c r="AA324" s="82" t="s">
        <v>36</v>
      </c>
      <c r="AB324" s="83" t="s">
        <v>37</v>
      </c>
      <c r="AC324" s="84"/>
      <c r="AD324" s="76"/>
      <c r="AE324" s="76"/>
      <c r="AF324" s="76"/>
      <c r="AG324" s="84"/>
      <c r="AH324" s="76"/>
      <c r="AI324" s="76"/>
      <c r="AJ324" s="76"/>
      <c r="AK324" s="84"/>
      <c r="AL324" s="84"/>
      <c r="AM324" s="84"/>
      <c r="AN324" s="84"/>
      <c r="AO324" s="84"/>
    </row>
    <row r="325" spans="1:41" s="1" customFormat="1" ht="45" customHeight="1" x14ac:dyDescent="0.2">
      <c r="A325" s="75">
        <v>84</v>
      </c>
      <c r="B325" s="75"/>
      <c r="C325" s="76" t="s">
        <v>122</v>
      </c>
      <c r="D325" s="76" t="s">
        <v>1795</v>
      </c>
      <c r="E325" s="75" t="s">
        <v>1796</v>
      </c>
      <c r="F325" s="75" t="e">
        <f t="shared" si="54"/>
        <v>#VALUE!</v>
      </c>
      <c r="G325" s="85">
        <v>0.72499999999999998</v>
      </c>
      <c r="H325" s="78" t="e">
        <f t="shared" si="51"/>
        <v>#VALUE!</v>
      </c>
      <c r="I325" s="78" t="e">
        <f t="shared" si="50"/>
        <v>#VALUE!</v>
      </c>
      <c r="J325" s="75"/>
      <c r="K325" s="79">
        <v>32541.78</v>
      </c>
      <c r="L325" s="79">
        <f t="shared" si="52"/>
        <v>23592.790499999999</v>
      </c>
      <c r="M325" s="76"/>
      <c r="N325" s="75" t="s">
        <v>42</v>
      </c>
      <c r="O325" s="80" t="s">
        <v>1797</v>
      </c>
      <c r="P325" s="81">
        <v>37712</v>
      </c>
      <c r="Q325" s="80" t="s">
        <v>336</v>
      </c>
      <c r="R325" s="81"/>
      <c r="S325" s="81">
        <v>42427</v>
      </c>
      <c r="T325" s="81">
        <v>35735</v>
      </c>
      <c r="U325" s="81">
        <v>37196</v>
      </c>
      <c r="V325" s="76"/>
      <c r="W325" s="76"/>
      <c r="X325" s="5"/>
      <c r="Y325" s="5"/>
      <c r="Z325" s="76" t="s">
        <v>134</v>
      </c>
      <c r="AA325" s="82" t="s">
        <v>36</v>
      </c>
      <c r="AB325" s="83" t="s">
        <v>37</v>
      </c>
      <c r="AC325" s="84"/>
      <c r="AD325" s="76"/>
      <c r="AE325" s="76"/>
      <c r="AF325" s="76"/>
      <c r="AG325" s="84"/>
      <c r="AH325" s="76"/>
      <c r="AI325" s="76"/>
      <c r="AJ325" s="76"/>
      <c r="AK325" s="84"/>
      <c r="AL325" s="84"/>
      <c r="AM325" s="84"/>
      <c r="AN325" s="84"/>
      <c r="AO325" s="84"/>
    </row>
    <row r="326" spans="1:41" s="1" customFormat="1" ht="45" customHeight="1" x14ac:dyDescent="0.2">
      <c r="A326" s="75">
        <v>85</v>
      </c>
      <c r="B326" s="75"/>
      <c r="C326" s="76" t="s">
        <v>122</v>
      </c>
      <c r="D326" s="76" t="s">
        <v>1798</v>
      </c>
      <c r="E326" s="75" t="s">
        <v>1799</v>
      </c>
      <c r="F326" s="75" t="e">
        <f t="shared" si="54"/>
        <v>#VALUE!</v>
      </c>
      <c r="G326" s="85">
        <v>0.625</v>
      </c>
      <c r="H326" s="78" t="e">
        <f t="shared" si="51"/>
        <v>#VALUE!</v>
      </c>
      <c r="I326" s="78" t="e">
        <f t="shared" si="50"/>
        <v>#VALUE!</v>
      </c>
      <c r="J326" s="75"/>
      <c r="K326" s="79">
        <v>32541.78</v>
      </c>
      <c r="L326" s="79">
        <f t="shared" si="52"/>
        <v>20338.612499999999</v>
      </c>
      <c r="M326" s="76"/>
      <c r="N326" s="75" t="s">
        <v>42</v>
      </c>
      <c r="O326" s="80" t="s">
        <v>1800</v>
      </c>
      <c r="P326" s="81">
        <v>37712</v>
      </c>
      <c r="Q326" s="80" t="s">
        <v>336</v>
      </c>
      <c r="R326" s="81"/>
      <c r="S326" s="81">
        <v>42427</v>
      </c>
      <c r="T326" s="81"/>
      <c r="U326" s="81"/>
      <c r="V326" s="76"/>
      <c r="W326" s="76"/>
      <c r="X326" s="5" t="s">
        <v>1286</v>
      </c>
      <c r="Y326" s="5" t="s">
        <v>134</v>
      </c>
      <c r="Z326" s="76" t="s">
        <v>134</v>
      </c>
      <c r="AA326" s="82" t="s">
        <v>36</v>
      </c>
      <c r="AB326" s="83" t="s">
        <v>37</v>
      </c>
      <c r="AC326" s="84"/>
      <c r="AD326" s="76"/>
      <c r="AE326" s="76"/>
      <c r="AF326" s="76"/>
      <c r="AG326" s="84"/>
      <c r="AH326" s="76"/>
      <c r="AI326" s="76"/>
      <c r="AJ326" s="76"/>
      <c r="AK326" s="84"/>
      <c r="AL326" s="84"/>
      <c r="AM326" s="84"/>
      <c r="AN326" s="84"/>
      <c r="AO326" s="84"/>
    </row>
    <row r="327" spans="1:41" s="1" customFormat="1" ht="45" customHeight="1" x14ac:dyDescent="0.2">
      <c r="A327" s="75">
        <v>86</v>
      </c>
      <c r="B327" s="75"/>
      <c r="C327" s="76" t="s">
        <v>122</v>
      </c>
      <c r="D327" s="76" t="s">
        <v>1801</v>
      </c>
      <c r="E327" s="75" t="s">
        <v>1802</v>
      </c>
      <c r="F327" s="75" t="e">
        <f t="shared" si="54"/>
        <v>#VALUE!</v>
      </c>
      <c r="G327" s="77">
        <v>0.7</v>
      </c>
      <c r="H327" s="78" t="e">
        <f t="shared" si="51"/>
        <v>#VALUE!</v>
      </c>
      <c r="I327" s="78" t="e">
        <f t="shared" si="50"/>
        <v>#VALUE!</v>
      </c>
      <c r="J327" s="75"/>
      <c r="K327" s="79">
        <f t="shared" ref="K327" si="55">32541.78+8000</f>
        <v>40541.78</v>
      </c>
      <c r="L327" s="79">
        <f t="shared" si="52"/>
        <v>28379.245999999999</v>
      </c>
      <c r="M327" s="76"/>
      <c r="N327" s="75" t="s">
        <v>42</v>
      </c>
      <c r="O327" s="80" t="s">
        <v>1803</v>
      </c>
      <c r="P327" s="81">
        <v>36434</v>
      </c>
      <c r="Q327" s="80" t="s">
        <v>336</v>
      </c>
      <c r="R327" s="81"/>
      <c r="S327" s="81">
        <v>42427</v>
      </c>
      <c r="T327" s="81"/>
      <c r="U327" s="81"/>
      <c r="V327" s="76"/>
      <c r="W327" s="76"/>
      <c r="X327" s="5"/>
      <c r="Y327" s="5"/>
      <c r="Z327" s="76" t="s">
        <v>134</v>
      </c>
      <c r="AA327" s="82" t="s">
        <v>36</v>
      </c>
      <c r="AB327" s="83" t="s">
        <v>37</v>
      </c>
      <c r="AC327" s="84"/>
      <c r="AD327" s="76"/>
      <c r="AE327" s="76"/>
      <c r="AF327" s="76"/>
      <c r="AG327" s="84"/>
      <c r="AH327" s="76"/>
      <c r="AI327" s="76"/>
      <c r="AJ327" s="76"/>
      <c r="AK327" s="84"/>
      <c r="AL327" s="84"/>
      <c r="AM327" s="84"/>
      <c r="AN327" s="84"/>
      <c r="AO327" s="84"/>
    </row>
    <row r="328" spans="1:41" s="1" customFormat="1" ht="45" customHeight="1" x14ac:dyDescent="0.2">
      <c r="A328" s="75">
        <v>87</v>
      </c>
      <c r="B328" s="75"/>
      <c r="C328" s="76" t="s">
        <v>122</v>
      </c>
      <c r="D328" s="76" t="s">
        <v>1804</v>
      </c>
      <c r="E328" s="75" t="s">
        <v>1805</v>
      </c>
      <c r="F328" s="75" t="e">
        <f t="shared" ref="F328:F330" si="56">DATEDIF(P328,Q328,"y") + DATEDIF(T328,U328,"y") + DATEDIF(V328,W328,"y") + SUM(AD328) &amp; " años " &amp; DATEDIF(P328,Q328,"ym") + DATEDIF(T328,U328,"ym") + DATEDIF(V328,W328,"ym") + SUM(AE328) - SUM(AI328) &amp; " meses " &amp; DATEDIF(P328,Q328,"md") + DATEDIF(T328,U328,"md") + DATEDIF(V328,W328,"md") - SUM(AJ328) &amp; " días"</f>
        <v>#VALUE!</v>
      </c>
      <c r="G328" s="85">
        <v>0.67500000000000004</v>
      </c>
      <c r="H328" s="78" t="e">
        <f t="shared" si="51"/>
        <v>#VALUE!</v>
      </c>
      <c r="I328" s="78" t="e">
        <f t="shared" si="50"/>
        <v>#VALUE!</v>
      </c>
      <c r="J328" s="75"/>
      <c r="K328" s="79">
        <v>32541.85</v>
      </c>
      <c r="L328" s="79">
        <f t="shared" si="52"/>
        <v>21965.748749999999</v>
      </c>
      <c r="M328" s="76"/>
      <c r="N328" s="75" t="s">
        <v>42</v>
      </c>
      <c r="O328" s="80" t="s">
        <v>1806</v>
      </c>
      <c r="P328" s="81">
        <v>36923</v>
      </c>
      <c r="Q328" s="80" t="s">
        <v>336</v>
      </c>
      <c r="R328" s="81"/>
      <c r="S328" s="81">
        <v>42795</v>
      </c>
      <c r="T328" s="81"/>
      <c r="U328" s="81"/>
      <c r="V328" s="76"/>
      <c r="W328" s="76"/>
      <c r="X328" s="5"/>
      <c r="Y328" s="5" t="s">
        <v>35</v>
      </c>
      <c r="Z328" s="76" t="s">
        <v>268</v>
      </c>
      <c r="AA328" s="82" t="s">
        <v>36</v>
      </c>
      <c r="AB328" s="83" t="s">
        <v>37</v>
      </c>
      <c r="AC328" s="84"/>
      <c r="AD328" s="76"/>
      <c r="AE328" s="76"/>
      <c r="AF328" s="76"/>
      <c r="AG328" s="84"/>
      <c r="AH328" s="76"/>
      <c r="AI328" s="76"/>
      <c r="AJ328" s="76"/>
      <c r="AK328" s="84"/>
      <c r="AL328" s="84"/>
      <c r="AM328" s="84"/>
      <c r="AN328" s="84"/>
      <c r="AO328" s="84"/>
    </row>
    <row r="329" spans="1:41" s="1" customFormat="1" ht="45" customHeight="1" x14ac:dyDescent="0.2">
      <c r="A329" s="75">
        <v>88</v>
      </c>
      <c r="B329" s="75"/>
      <c r="C329" s="76" t="s">
        <v>122</v>
      </c>
      <c r="D329" s="76" t="s">
        <v>1807</v>
      </c>
      <c r="E329" s="75" t="s">
        <v>1808</v>
      </c>
      <c r="F329" s="75" t="e">
        <f t="shared" si="56"/>
        <v>#VALUE!</v>
      </c>
      <c r="G329" s="85">
        <v>0.625</v>
      </c>
      <c r="H329" s="78" t="e">
        <f t="shared" si="51"/>
        <v>#VALUE!</v>
      </c>
      <c r="I329" s="78" t="e">
        <f t="shared" si="50"/>
        <v>#VALUE!</v>
      </c>
      <c r="J329" s="75"/>
      <c r="K329" s="79">
        <v>31510.27</v>
      </c>
      <c r="L329" s="79">
        <f t="shared" si="52"/>
        <v>19693.918750000001</v>
      </c>
      <c r="M329" s="76"/>
      <c r="N329" s="75" t="s">
        <v>42</v>
      </c>
      <c r="O329" s="80" t="s">
        <v>1809</v>
      </c>
      <c r="P329" s="81">
        <v>37653</v>
      </c>
      <c r="Q329" s="80" t="s">
        <v>336</v>
      </c>
      <c r="R329" s="81"/>
      <c r="S329" s="81">
        <v>43888</v>
      </c>
      <c r="T329" s="81"/>
      <c r="U329" s="81"/>
      <c r="V329" s="76"/>
      <c r="W329" s="76"/>
      <c r="X329" s="5"/>
      <c r="Y329" s="5" t="s">
        <v>35</v>
      </c>
      <c r="Z329" s="76" t="s">
        <v>268</v>
      </c>
      <c r="AA329" s="82" t="s">
        <v>36</v>
      </c>
      <c r="AB329" s="83" t="s">
        <v>37</v>
      </c>
      <c r="AC329" s="84"/>
      <c r="AD329" s="76"/>
      <c r="AE329" s="76"/>
      <c r="AF329" s="76"/>
      <c r="AG329" s="84"/>
      <c r="AH329" s="76"/>
      <c r="AI329" s="76"/>
      <c r="AJ329" s="76"/>
      <c r="AK329" s="84"/>
      <c r="AL329" s="84"/>
      <c r="AM329" s="84"/>
      <c r="AN329" s="84"/>
      <c r="AO329" s="84"/>
    </row>
    <row r="330" spans="1:41" s="1" customFormat="1" ht="45" customHeight="1" x14ac:dyDescent="0.2">
      <c r="A330" s="75">
        <v>89</v>
      </c>
      <c r="B330" s="75"/>
      <c r="C330" s="76" t="s">
        <v>122</v>
      </c>
      <c r="D330" s="76" t="s">
        <v>1810</v>
      </c>
      <c r="E330" s="75" t="s">
        <v>1811</v>
      </c>
      <c r="F330" s="75" t="e">
        <f t="shared" si="56"/>
        <v>#VALUE!</v>
      </c>
      <c r="G330" s="77">
        <v>0.6</v>
      </c>
      <c r="H330" s="78" t="e">
        <f t="shared" si="51"/>
        <v>#VALUE!</v>
      </c>
      <c r="I330" s="78" t="e">
        <f t="shared" si="50"/>
        <v>#VALUE!</v>
      </c>
      <c r="J330" s="75"/>
      <c r="K330" s="79">
        <v>31510.28</v>
      </c>
      <c r="L330" s="79">
        <f t="shared" si="52"/>
        <v>18906.167999999998</v>
      </c>
      <c r="M330" s="76"/>
      <c r="N330" s="75" t="s">
        <v>42</v>
      </c>
      <c r="O330" s="80" t="s">
        <v>1812</v>
      </c>
      <c r="P330" s="81">
        <v>37987</v>
      </c>
      <c r="Q330" s="80" t="s">
        <v>336</v>
      </c>
      <c r="R330" s="81"/>
      <c r="S330" s="81">
        <v>43888</v>
      </c>
      <c r="T330" s="81"/>
      <c r="U330" s="81"/>
      <c r="V330" s="76"/>
      <c r="W330" s="76"/>
      <c r="X330" s="5" t="s">
        <v>1286</v>
      </c>
      <c r="Y330" s="5" t="s">
        <v>35</v>
      </c>
      <c r="Z330" s="76" t="s">
        <v>268</v>
      </c>
      <c r="AA330" s="82" t="s">
        <v>36</v>
      </c>
      <c r="AB330" s="83" t="s">
        <v>37</v>
      </c>
      <c r="AC330" s="84"/>
      <c r="AD330" s="76"/>
      <c r="AE330" s="76"/>
      <c r="AF330" s="76"/>
      <c r="AG330" s="84"/>
      <c r="AH330" s="76"/>
      <c r="AI330" s="76"/>
      <c r="AJ330" s="76"/>
      <c r="AK330" s="84"/>
      <c r="AL330" s="84"/>
      <c r="AM330" s="84"/>
      <c r="AN330" s="84"/>
      <c r="AO330" s="84"/>
    </row>
    <row r="331" spans="1:41" s="1" customFormat="1" ht="45" customHeight="1" x14ac:dyDescent="0.2">
      <c r="A331" s="75">
        <v>90</v>
      </c>
      <c r="B331" s="75"/>
      <c r="C331" s="76" t="s">
        <v>122</v>
      </c>
      <c r="D331" s="76" t="s">
        <v>1813</v>
      </c>
      <c r="E331" s="75" t="s">
        <v>1814</v>
      </c>
      <c r="F331" s="75" t="e">
        <f t="shared" si="54"/>
        <v>#VALUE!</v>
      </c>
      <c r="G331" s="85">
        <v>0.72499999999999998</v>
      </c>
      <c r="H331" s="78" t="e">
        <f t="shared" si="51"/>
        <v>#VALUE!</v>
      </c>
      <c r="I331" s="78" t="e">
        <f t="shared" si="50"/>
        <v>#VALUE!</v>
      </c>
      <c r="J331" s="75"/>
      <c r="K331" s="79">
        <v>32541.78</v>
      </c>
      <c r="L331" s="79">
        <f t="shared" si="52"/>
        <v>23592.790499999999</v>
      </c>
      <c r="M331" s="76"/>
      <c r="N331" s="75" t="s">
        <v>42</v>
      </c>
      <c r="O331" s="80" t="s">
        <v>1815</v>
      </c>
      <c r="P331" s="81">
        <v>36220</v>
      </c>
      <c r="Q331" s="80" t="s">
        <v>336</v>
      </c>
      <c r="R331" s="81"/>
      <c r="S331" s="81">
        <v>42062</v>
      </c>
      <c r="T331" s="81"/>
      <c r="U331" s="81"/>
      <c r="V331" s="76"/>
      <c r="W331" s="76"/>
      <c r="X331" s="5" t="s">
        <v>1286</v>
      </c>
      <c r="Y331" s="5" t="s">
        <v>35</v>
      </c>
      <c r="Z331" s="76" t="s">
        <v>268</v>
      </c>
      <c r="AA331" s="82" t="s">
        <v>36</v>
      </c>
      <c r="AB331" s="83" t="s">
        <v>37</v>
      </c>
      <c r="AC331" s="84"/>
      <c r="AD331" s="76"/>
      <c r="AE331" s="76"/>
      <c r="AF331" s="76"/>
      <c r="AG331" s="84"/>
      <c r="AH331" s="76"/>
      <c r="AI331" s="76"/>
      <c r="AJ331" s="76"/>
      <c r="AK331" s="84"/>
      <c r="AL331" s="84"/>
      <c r="AM331" s="84"/>
      <c r="AN331" s="84"/>
      <c r="AO331" s="84"/>
    </row>
    <row r="332" spans="1:41" s="1" customFormat="1" ht="45" customHeight="1" x14ac:dyDescent="0.2">
      <c r="A332" s="75">
        <v>91</v>
      </c>
      <c r="B332" s="75"/>
      <c r="C332" s="76" t="s">
        <v>145</v>
      </c>
      <c r="D332" s="76" t="s">
        <v>1816</v>
      </c>
      <c r="E332" s="75" t="s">
        <v>1817</v>
      </c>
      <c r="F332" s="75" t="e">
        <f>DATEDIF(P332,Q332,"y") + DATEDIF(T332,U332,"y") + DATEDIF(V332,W332,"y") + SUM(AD332) &amp; " años " &amp; DATEDIF(P332,Q332,"ym") + DATEDIF(T332,U332,"ym") + DATEDIF(V332,W332,"ym") + SUM(AE332) - SUM(AI332) &amp; " meses " &amp; DATEDIF(P332,Q332,"md") + DATEDIF(T332,U332,"md") + DATEDIF(V332,W332,"md") - SUM(AJ332) &amp; " días"</f>
        <v>#VALUE!</v>
      </c>
      <c r="G332" s="85">
        <v>0.67500000000000004</v>
      </c>
      <c r="H332" s="78" t="e">
        <f>DATEDIF(R332,Q332,"y") &amp; " años " &amp; DATEDIF(R332,Q332,"ym") &amp; " meses " &amp; DATEDIF(R332,Q332,"md") &amp; " días"</f>
        <v>#VALUE!</v>
      </c>
      <c r="I332" s="78" t="e">
        <f>DATEDIF(S332,Q332,"y") &amp; " años " &amp; DATEDIF(S332,Q332,"ym") &amp; " meses " &amp; DATEDIF(S332,Q332,"md") &amp; " días"</f>
        <v>#VALUE!</v>
      </c>
      <c r="J332" s="75"/>
      <c r="K332" s="79">
        <f>31510.27</f>
        <v>31510.27</v>
      </c>
      <c r="L332" s="79">
        <f>K332*G332</f>
        <v>21269.432250000002</v>
      </c>
      <c r="M332" s="76"/>
      <c r="N332" s="75" t="s">
        <v>42</v>
      </c>
      <c r="O332" s="80" t="s">
        <v>1818</v>
      </c>
      <c r="P332" s="81">
        <v>38018</v>
      </c>
      <c r="Q332" s="80" t="s">
        <v>336</v>
      </c>
      <c r="R332" s="81"/>
      <c r="S332" s="81">
        <v>42427</v>
      </c>
      <c r="T332" s="81">
        <v>36039</v>
      </c>
      <c r="U332" s="81">
        <v>37127</v>
      </c>
      <c r="V332" s="76"/>
      <c r="W332" s="76"/>
      <c r="X332" s="5"/>
      <c r="Y332" s="5"/>
      <c r="Z332" s="76" t="s">
        <v>134</v>
      </c>
      <c r="AA332" s="82" t="s">
        <v>36</v>
      </c>
      <c r="AB332" s="83" t="s">
        <v>37</v>
      </c>
      <c r="AC332" s="84"/>
      <c r="AD332" s="76">
        <v>1</v>
      </c>
      <c r="AE332" s="76"/>
      <c r="AF332" s="76"/>
      <c r="AG332" s="84"/>
      <c r="AH332" s="76"/>
      <c r="AI332" s="76">
        <v>12</v>
      </c>
      <c r="AJ332" s="76"/>
      <c r="AK332" s="84"/>
      <c r="AL332" s="84"/>
      <c r="AM332" s="84"/>
      <c r="AN332" s="84"/>
      <c r="AO332" s="84"/>
    </row>
    <row r="333" spans="1:41" s="1" customFormat="1" ht="45" customHeight="1" x14ac:dyDescent="0.2">
      <c r="A333" s="75">
        <v>92</v>
      </c>
      <c r="B333" s="75"/>
      <c r="C333" s="76" t="s">
        <v>145</v>
      </c>
      <c r="D333" s="76" t="s">
        <v>1819</v>
      </c>
      <c r="E333" s="75" t="s">
        <v>1820</v>
      </c>
      <c r="F333" s="75" t="e">
        <f>DATEDIF(P333,Q333,"y") + DATEDIF(T333,U333,"y") + DATEDIF(V333,W333,"y") + SUM(AD333) &amp; " años " &amp; DATEDIF(P333,Q333,"ym") + DATEDIF(T333,U333,"ym") + DATEDIF(V333,W333,"ym") + SUM(AE333) - SUM(AI333) &amp; " meses " &amp; DATEDIF(P333,Q333,"md") + DATEDIF(T333,U333,"md") + DATEDIF(V333,W333,"md") - SUM(AJ333) &amp; " días"</f>
        <v>#VALUE!</v>
      </c>
      <c r="G333" s="85">
        <v>0.67500000000000004</v>
      </c>
      <c r="H333" s="78" t="e">
        <f>DATEDIF(R333,Q333,"y") &amp; " años " &amp; DATEDIF(R333,Q333,"ym") &amp; " meses " &amp; DATEDIF(R333,Q333,"md") &amp; " días"</f>
        <v>#VALUE!</v>
      </c>
      <c r="I333" s="78" t="e">
        <f>DATEDIF(S333,Q333,"y") &amp; " años " &amp; DATEDIF(S333,Q333,"ym") &amp; " meses " &amp; DATEDIF(S333,Q333,"md") &amp; " días"</f>
        <v>#VALUE!</v>
      </c>
      <c r="J333" s="75"/>
      <c r="K333" s="79">
        <v>31510.27</v>
      </c>
      <c r="L333" s="79">
        <f>K333*G333</f>
        <v>21269.432250000002</v>
      </c>
      <c r="M333" s="76"/>
      <c r="N333" s="75" t="s">
        <v>42</v>
      </c>
      <c r="O333" s="80" t="s">
        <v>1821</v>
      </c>
      <c r="P333" s="81">
        <v>36861</v>
      </c>
      <c r="Q333" s="80" t="s">
        <v>336</v>
      </c>
      <c r="R333" s="81"/>
      <c r="S333" s="81">
        <v>42062</v>
      </c>
      <c r="T333" s="81"/>
      <c r="U333" s="81"/>
      <c r="V333" s="76"/>
      <c r="W333" s="76"/>
      <c r="X333" s="5"/>
      <c r="Y333" s="5"/>
      <c r="Z333" s="76" t="s">
        <v>268</v>
      </c>
      <c r="AA333" s="82" t="s">
        <v>36</v>
      </c>
      <c r="AB333" s="89" t="s">
        <v>37</v>
      </c>
      <c r="AC333" s="84"/>
      <c r="AD333" s="76"/>
      <c r="AE333" s="76"/>
      <c r="AF333" s="76"/>
      <c r="AG333" s="84"/>
      <c r="AH333" s="76"/>
      <c r="AI333" s="76"/>
      <c r="AJ333" s="76"/>
      <c r="AK333" s="84"/>
      <c r="AL333" s="84"/>
      <c r="AM333" s="84"/>
      <c r="AN333" s="84"/>
      <c r="AO333" s="84"/>
    </row>
    <row r="334" spans="1:41" s="1" customFormat="1" ht="45" customHeight="1" x14ac:dyDescent="0.2">
      <c r="A334" s="75">
        <v>93</v>
      </c>
      <c r="B334" s="75"/>
      <c r="C334" s="76" t="s">
        <v>145</v>
      </c>
      <c r="D334" s="76" t="s">
        <v>1822</v>
      </c>
      <c r="E334" s="75" t="s">
        <v>1823</v>
      </c>
      <c r="F334" s="75" t="e">
        <f>DATEDIF(P334,Q334,"y") + DATEDIF(T334,U334,"y") + DATEDIF(V334,W334,"y") + SUM(AD334) &amp; " años " &amp; DATEDIF(P334,Q334,"ym") + DATEDIF(T334,U334,"ym") + DATEDIF(V334,W334,"ym") + SUM(AE334) - SUM(AI334) &amp; " meses " &amp; DATEDIF(P334,Q334,"md") + DATEDIF(T334,U334,"md") + DATEDIF(V334,W334,"md") - SUM(AJ334) &amp; " días"</f>
        <v>#VALUE!</v>
      </c>
      <c r="G334" s="77">
        <v>0.7</v>
      </c>
      <c r="H334" s="78" t="e">
        <f>DATEDIF(R334,Q334,"y") &amp; " años " &amp; DATEDIF(R334,Q334,"ym") &amp; " meses " &amp; DATEDIF(R334,Q334,"md") &amp; " días"</f>
        <v>#VALUE!</v>
      </c>
      <c r="I334" s="78" t="e">
        <f>DATEDIF(S334,Q334,"y") &amp; " años " &amp; DATEDIF(S334,Q334,"ym") &amp; " meses " &amp; DATEDIF(S334,Q334,"md") &amp; " días"</f>
        <v>#VALUE!</v>
      </c>
      <c r="J334" s="75"/>
      <c r="K334" s="79">
        <f>31510.27</f>
        <v>31510.27</v>
      </c>
      <c r="L334" s="79">
        <f>K334*G334</f>
        <v>22057.188999999998</v>
      </c>
      <c r="M334" s="76"/>
      <c r="N334" s="75" t="s">
        <v>42</v>
      </c>
      <c r="O334" s="80" t="s">
        <v>1824</v>
      </c>
      <c r="P334" s="81">
        <v>36708</v>
      </c>
      <c r="Q334" s="80" t="s">
        <v>336</v>
      </c>
      <c r="R334" s="81"/>
      <c r="S334" s="81">
        <v>41699</v>
      </c>
      <c r="T334" s="81">
        <v>36192</v>
      </c>
      <c r="U334" s="81">
        <v>36376</v>
      </c>
      <c r="V334" s="76"/>
      <c r="W334" s="76"/>
      <c r="X334" s="5"/>
      <c r="Y334" s="5"/>
      <c r="Z334" s="76" t="s">
        <v>134</v>
      </c>
      <c r="AA334" s="82" t="s">
        <v>36</v>
      </c>
      <c r="AB334" s="83" t="s">
        <v>37</v>
      </c>
      <c r="AC334" s="84"/>
      <c r="AD334" s="76">
        <v>1</v>
      </c>
      <c r="AE334" s="76"/>
      <c r="AF334" s="76"/>
      <c r="AG334" s="84"/>
      <c r="AH334" s="76"/>
      <c r="AI334" s="76">
        <v>12</v>
      </c>
      <c r="AJ334" s="76"/>
      <c r="AK334" s="84"/>
      <c r="AL334" s="84"/>
      <c r="AM334" s="84"/>
      <c r="AN334" s="84"/>
      <c r="AO334" s="84"/>
    </row>
    <row r="335" spans="1:41" s="1" customFormat="1" ht="45" customHeight="1" x14ac:dyDescent="0.2">
      <c r="A335" s="75">
        <v>94</v>
      </c>
      <c r="B335" s="75"/>
      <c r="C335" s="76" t="s">
        <v>300</v>
      </c>
      <c r="D335" s="76" t="s">
        <v>1825</v>
      </c>
      <c r="E335" s="75" t="s">
        <v>1826</v>
      </c>
      <c r="F335" s="75" t="e">
        <f t="shared" ref="F335:F354" si="57">DATEDIF(P335,Q335,"y") + DATEDIF(T335,U335,"y") + DATEDIF(V335,W335,"y") + SUM(AD335) &amp; " años " &amp; DATEDIF(P335,Q335,"ym") + DATEDIF(T335,U335,"ym") + DATEDIF(V335,W335,"ym") + SUM(AE335) - SUM(AI335) &amp; " meses " &amp; DATEDIF(P335,Q335,"md") + DATEDIF(T335,U335,"md") + DATEDIF(V335,W335,"md") - SUM(AJ335) &amp; " días"</f>
        <v>#VALUE!</v>
      </c>
      <c r="G335" s="85">
        <v>0.67500000000000004</v>
      </c>
      <c r="H335" s="78" t="e">
        <f t="shared" ref="H335:H355" si="58">DATEDIF(R335,Q335,"y") &amp; " años " &amp; DATEDIF(R335,Q335,"ym") &amp; " meses " &amp; DATEDIF(R335,Q335,"md") &amp; " días"</f>
        <v>#VALUE!</v>
      </c>
      <c r="I335" s="78"/>
      <c r="J335" s="75"/>
      <c r="K335" s="79">
        <v>11600</v>
      </c>
      <c r="L335" s="79">
        <v>10000</v>
      </c>
      <c r="M335" s="76"/>
      <c r="N335" s="75" t="s">
        <v>298</v>
      </c>
      <c r="O335" s="80" t="s">
        <v>1827</v>
      </c>
      <c r="P335" s="81">
        <v>36951</v>
      </c>
      <c r="Q335" s="80" t="s">
        <v>336</v>
      </c>
      <c r="R335" s="81"/>
      <c r="S335" s="81"/>
      <c r="T335" s="81"/>
      <c r="U335" s="81"/>
      <c r="V335" s="76"/>
      <c r="W335" s="76"/>
      <c r="X335" s="5"/>
      <c r="Y335" s="5"/>
      <c r="Z335" s="76" t="s">
        <v>134</v>
      </c>
      <c r="AA335" s="82" t="s">
        <v>36</v>
      </c>
      <c r="AB335" s="83" t="s">
        <v>37</v>
      </c>
      <c r="AC335" s="84"/>
      <c r="AD335" s="76"/>
      <c r="AE335" s="76"/>
      <c r="AF335" s="76"/>
      <c r="AG335" s="84"/>
      <c r="AH335" s="76"/>
      <c r="AI335" s="76"/>
      <c r="AJ335" s="76"/>
      <c r="AK335" s="84"/>
      <c r="AL335" s="84"/>
      <c r="AM335" s="84"/>
      <c r="AN335" s="84"/>
      <c r="AO335" s="84"/>
    </row>
    <row r="336" spans="1:41" s="1" customFormat="1" ht="45" customHeight="1" x14ac:dyDescent="0.2">
      <c r="A336" s="75">
        <v>95</v>
      </c>
      <c r="B336" s="75"/>
      <c r="C336" s="76" t="s">
        <v>300</v>
      </c>
      <c r="D336" s="76" t="s">
        <v>1828</v>
      </c>
      <c r="E336" s="75" t="s">
        <v>1829</v>
      </c>
      <c r="F336" s="75" t="e">
        <f t="shared" si="57"/>
        <v>#VALUE!</v>
      </c>
      <c r="G336" s="85">
        <v>0.72499999999999998</v>
      </c>
      <c r="H336" s="78" t="e">
        <f t="shared" si="58"/>
        <v>#VALUE!</v>
      </c>
      <c r="I336" s="78"/>
      <c r="J336" s="75"/>
      <c r="K336" s="79">
        <v>11345.73</v>
      </c>
      <c r="L336" s="79">
        <v>10000</v>
      </c>
      <c r="M336" s="76"/>
      <c r="N336" s="75" t="s">
        <v>298</v>
      </c>
      <c r="O336" s="80" t="s">
        <v>1830</v>
      </c>
      <c r="P336" s="81">
        <v>36373</v>
      </c>
      <c r="Q336" s="80" t="s">
        <v>336</v>
      </c>
      <c r="R336" s="81"/>
      <c r="S336" s="81"/>
      <c r="T336" s="81"/>
      <c r="U336" s="81"/>
      <c r="V336" s="76"/>
      <c r="W336" s="76"/>
      <c r="X336" s="5"/>
      <c r="Y336" s="5"/>
      <c r="Z336" s="76" t="s">
        <v>134</v>
      </c>
      <c r="AA336" s="82" t="s">
        <v>36</v>
      </c>
      <c r="AB336" s="83" t="s">
        <v>37</v>
      </c>
      <c r="AC336" s="84"/>
      <c r="AD336" s="76"/>
      <c r="AE336" s="76"/>
      <c r="AF336" s="76"/>
      <c r="AG336" s="84"/>
      <c r="AH336" s="76"/>
      <c r="AI336" s="76"/>
      <c r="AJ336" s="76"/>
      <c r="AK336" s="84"/>
      <c r="AL336" s="84"/>
      <c r="AM336" s="84"/>
      <c r="AN336" s="84"/>
      <c r="AO336" s="84"/>
    </row>
    <row r="337" spans="1:41" s="1" customFormat="1" ht="45" customHeight="1" x14ac:dyDescent="0.2">
      <c r="A337" s="75">
        <v>96</v>
      </c>
      <c r="B337" s="75"/>
      <c r="C337" s="76" t="s">
        <v>300</v>
      </c>
      <c r="D337" s="76" t="s">
        <v>1831</v>
      </c>
      <c r="E337" s="75" t="s">
        <v>1832</v>
      </c>
      <c r="F337" s="75" t="e">
        <f t="shared" si="57"/>
        <v>#VALUE!</v>
      </c>
      <c r="G337" s="77">
        <v>0.8</v>
      </c>
      <c r="H337" s="78" t="e">
        <f t="shared" si="58"/>
        <v>#VALUE!</v>
      </c>
      <c r="I337" s="78"/>
      <c r="J337" s="75"/>
      <c r="K337" s="79">
        <v>10150</v>
      </c>
      <c r="L337" s="79">
        <v>10000</v>
      </c>
      <c r="M337" s="76"/>
      <c r="N337" s="75" t="s">
        <v>298</v>
      </c>
      <c r="O337" s="80" t="s">
        <v>1833</v>
      </c>
      <c r="P337" s="81">
        <v>35122</v>
      </c>
      <c r="Q337" s="80" t="s">
        <v>336</v>
      </c>
      <c r="R337" s="81"/>
      <c r="S337" s="81"/>
      <c r="T337" s="81"/>
      <c r="U337" s="81"/>
      <c r="V337" s="76"/>
      <c r="W337" s="76"/>
      <c r="X337" s="5"/>
      <c r="Y337" s="5"/>
      <c r="Z337" s="76" t="s">
        <v>134</v>
      </c>
      <c r="AA337" s="82" t="s">
        <v>36</v>
      </c>
      <c r="AB337" s="83" t="s">
        <v>37</v>
      </c>
      <c r="AC337" s="84"/>
      <c r="AD337" s="76"/>
      <c r="AE337" s="76"/>
      <c r="AF337" s="76"/>
      <c r="AG337" s="84"/>
      <c r="AH337" s="76"/>
      <c r="AI337" s="76"/>
      <c r="AJ337" s="76"/>
      <c r="AK337" s="84"/>
      <c r="AL337" s="84"/>
      <c r="AM337" s="84"/>
      <c r="AN337" s="84"/>
      <c r="AO337" s="84"/>
    </row>
    <row r="338" spans="1:41" s="1" customFormat="1" ht="45" customHeight="1" x14ac:dyDescent="0.2">
      <c r="A338" s="75">
        <v>97</v>
      </c>
      <c r="B338" s="75"/>
      <c r="C338" s="76" t="s">
        <v>300</v>
      </c>
      <c r="D338" s="76" t="s">
        <v>1834</v>
      </c>
      <c r="E338" s="75" t="s">
        <v>1835</v>
      </c>
      <c r="F338" s="75" t="e">
        <f t="shared" si="57"/>
        <v>#VALUE!</v>
      </c>
      <c r="G338" s="77">
        <v>0.6</v>
      </c>
      <c r="H338" s="78" t="e">
        <f t="shared" si="58"/>
        <v>#VALUE!</v>
      </c>
      <c r="I338" s="78"/>
      <c r="J338" s="75"/>
      <c r="K338" s="79">
        <v>12500</v>
      </c>
      <c r="L338" s="79">
        <v>10000</v>
      </c>
      <c r="M338" s="76" t="s">
        <v>1836</v>
      </c>
      <c r="N338" s="75" t="s">
        <v>298</v>
      </c>
      <c r="O338" s="80" t="s">
        <v>1837</v>
      </c>
      <c r="P338" s="81">
        <v>41288</v>
      </c>
      <c r="Q338" s="76" t="s">
        <v>1962</v>
      </c>
      <c r="R338" s="81"/>
      <c r="S338" s="81"/>
      <c r="T338" s="81"/>
      <c r="U338" s="81"/>
      <c r="V338" s="76"/>
      <c r="W338" s="76"/>
      <c r="X338" s="5"/>
      <c r="Y338" s="5"/>
      <c r="Z338" s="76" t="s">
        <v>134</v>
      </c>
      <c r="AA338" s="82" t="s">
        <v>36</v>
      </c>
      <c r="AB338" s="83" t="s">
        <v>37</v>
      </c>
      <c r="AC338" s="84"/>
      <c r="AD338" s="76"/>
      <c r="AE338" s="76"/>
      <c r="AF338" s="76"/>
      <c r="AG338" s="84"/>
      <c r="AH338" s="76"/>
      <c r="AI338" s="76"/>
      <c r="AJ338" s="76"/>
      <c r="AK338" s="84"/>
      <c r="AL338" s="84"/>
      <c r="AM338" s="84"/>
      <c r="AN338" s="84"/>
      <c r="AO338" s="84"/>
    </row>
    <row r="339" spans="1:41" s="1" customFormat="1" ht="45" customHeight="1" x14ac:dyDescent="0.2">
      <c r="A339" s="75">
        <v>98</v>
      </c>
      <c r="B339" s="75"/>
      <c r="C339" s="76" t="s">
        <v>300</v>
      </c>
      <c r="D339" s="76" t="s">
        <v>1838</v>
      </c>
      <c r="E339" s="75" t="s">
        <v>1839</v>
      </c>
      <c r="F339" s="75" t="e">
        <f t="shared" si="57"/>
        <v>#VALUE!</v>
      </c>
      <c r="G339" s="85">
        <v>0.67500000000000004</v>
      </c>
      <c r="H339" s="78" t="e">
        <f t="shared" si="58"/>
        <v>#VALUE!</v>
      </c>
      <c r="I339" s="78"/>
      <c r="J339" s="75"/>
      <c r="K339" s="79">
        <v>15600</v>
      </c>
      <c r="L339" s="79">
        <f>K339*G339</f>
        <v>10530</v>
      </c>
      <c r="M339" s="76"/>
      <c r="N339" s="75" t="s">
        <v>298</v>
      </c>
      <c r="O339" s="80" t="s">
        <v>1840</v>
      </c>
      <c r="P339" s="81">
        <v>36951</v>
      </c>
      <c r="Q339" s="80" t="s">
        <v>336</v>
      </c>
      <c r="R339" s="81"/>
      <c r="S339" s="81"/>
      <c r="T339" s="81"/>
      <c r="U339" s="81"/>
      <c r="V339" s="76"/>
      <c r="W339" s="76"/>
      <c r="X339" s="5" t="s">
        <v>1841</v>
      </c>
      <c r="Y339" s="5"/>
      <c r="Z339" s="76" t="s">
        <v>268</v>
      </c>
      <c r="AA339" s="82" t="s">
        <v>36</v>
      </c>
      <c r="AB339" s="83" t="s">
        <v>37</v>
      </c>
      <c r="AC339" s="84"/>
      <c r="AD339" s="76"/>
      <c r="AE339" s="76"/>
      <c r="AF339" s="76"/>
      <c r="AG339" s="84"/>
      <c r="AH339" s="76"/>
      <c r="AI339" s="76"/>
      <c r="AJ339" s="76"/>
      <c r="AK339" s="84"/>
      <c r="AL339" s="84"/>
      <c r="AM339" s="84"/>
      <c r="AN339" s="84"/>
      <c r="AO339" s="84"/>
    </row>
    <row r="340" spans="1:41" s="1" customFormat="1" ht="45" customHeight="1" x14ac:dyDescent="0.2">
      <c r="A340" s="75">
        <v>99</v>
      </c>
      <c r="B340" s="75"/>
      <c r="C340" s="76" t="s">
        <v>300</v>
      </c>
      <c r="D340" s="76" t="s">
        <v>1842</v>
      </c>
      <c r="E340" s="75" t="s">
        <v>1843</v>
      </c>
      <c r="F340" s="75" t="e">
        <f t="shared" si="57"/>
        <v>#VALUE!</v>
      </c>
      <c r="G340" s="77">
        <v>0.65</v>
      </c>
      <c r="H340" s="78" t="e">
        <f t="shared" si="58"/>
        <v>#VALUE!</v>
      </c>
      <c r="I340" s="78"/>
      <c r="J340" s="75"/>
      <c r="K340" s="79">
        <f>12500+4400</f>
        <v>16900</v>
      </c>
      <c r="L340" s="79">
        <f>K340*G340</f>
        <v>10985</v>
      </c>
      <c r="M340" s="76"/>
      <c r="N340" s="75" t="s">
        <v>298</v>
      </c>
      <c r="O340" s="80" t="s">
        <v>1844</v>
      </c>
      <c r="P340" s="81">
        <v>38777</v>
      </c>
      <c r="Q340" s="80" t="s">
        <v>336</v>
      </c>
      <c r="R340" s="81"/>
      <c r="S340" s="81"/>
      <c r="T340" s="81">
        <v>37361</v>
      </c>
      <c r="U340" s="81">
        <v>38777</v>
      </c>
      <c r="V340" s="76"/>
      <c r="W340" s="76"/>
      <c r="X340" s="5"/>
      <c r="Y340" s="5"/>
      <c r="Z340" s="76" t="s">
        <v>1032</v>
      </c>
      <c r="AA340" s="82" t="s">
        <v>36</v>
      </c>
      <c r="AB340" s="83" t="s">
        <v>37</v>
      </c>
      <c r="AC340" s="84"/>
      <c r="AD340" s="76"/>
      <c r="AE340" s="76"/>
      <c r="AF340" s="76"/>
      <c r="AG340" s="84"/>
      <c r="AH340" s="76"/>
      <c r="AI340" s="76"/>
      <c r="AJ340" s="76"/>
      <c r="AK340" s="84"/>
      <c r="AL340" s="84"/>
      <c r="AM340" s="84"/>
      <c r="AN340" s="84"/>
      <c r="AO340" s="84"/>
    </row>
    <row r="341" spans="1:41" s="1" customFormat="1" ht="45" customHeight="1" x14ac:dyDescent="0.2">
      <c r="A341" s="75">
        <v>100</v>
      </c>
      <c r="B341" s="75"/>
      <c r="C341" s="76" t="s">
        <v>300</v>
      </c>
      <c r="D341" s="76" t="s">
        <v>1845</v>
      </c>
      <c r="E341" s="75" t="s">
        <v>1846</v>
      </c>
      <c r="F341" s="75" t="e">
        <f t="shared" si="57"/>
        <v>#VALUE!</v>
      </c>
      <c r="G341" s="77">
        <v>0.65</v>
      </c>
      <c r="H341" s="78" t="e">
        <f t="shared" si="58"/>
        <v>#VALUE!</v>
      </c>
      <c r="I341" s="78"/>
      <c r="J341" s="75"/>
      <c r="K341" s="79">
        <v>20300</v>
      </c>
      <c r="L341" s="79">
        <f>K341*G341</f>
        <v>13195</v>
      </c>
      <c r="M341" s="76"/>
      <c r="N341" s="75" t="s">
        <v>298</v>
      </c>
      <c r="O341" s="80" t="s">
        <v>1847</v>
      </c>
      <c r="P341" s="81">
        <v>37314</v>
      </c>
      <c r="Q341" s="80" t="s">
        <v>336</v>
      </c>
      <c r="R341" s="81"/>
      <c r="S341" s="81"/>
      <c r="T341" s="81"/>
      <c r="U341" s="81"/>
      <c r="V341" s="76"/>
      <c r="W341" s="76"/>
      <c r="X341" s="5"/>
      <c r="Y341" s="5" t="s">
        <v>129</v>
      </c>
      <c r="Z341" s="76" t="s">
        <v>129</v>
      </c>
      <c r="AA341" s="82" t="s">
        <v>36</v>
      </c>
      <c r="AB341" s="83" t="s">
        <v>37</v>
      </c>
      <c r="AC341" s="84"/>
      <c r="AD341" s="76"/>
      <c r="AE341" s="76"/>
      <c r="AF341" s="76"/>
      <c r="AG341" s="84"/>
      <c r="AH341" s="76"/>
      <c r="AI341" s="76"/>
      <c r="AJ341" s="76"/>
      <c r="AK341" s="84"/>
      <c r="AL341" s="84"/>
      <c r="AM341" s="84"/>
      <c r="AN341" s="84"/>
      <c r="AO341" s="84"/>
    </row>
    <row r="342" spans="1:41" s="1" customFormat="1" ht="45" customHeight="1" x14ac:dyDescent="0.2">
      <c r="A342" s="75">
        <v>101</v>
      </c>
      <c r="B342" s="75"/>
      <c r="C342" s="76" t="s">
        <v>300</v>
      </c>
      <c r="D342" s="76" t="s">
        <v>1848</v>
      </c>
      <c r="E342" s="75" t="s">
        <v>1849</v>
      </c>
      <c r="F342" s="75" t="e">
        <f t="shared" si="57"/>
        <v>#VALUE!</v>
      </c>
      <c r="G342" s="85">
        <v>0.67500000000000004</v>
      </c>
      <c r="H342" s="78" t="e">
        <f t="shared" si="58"/>
        <v>#VALUE!</v>
      </c>
      <c r="I342" s="78"/>
      <c r="J342" s="75"/>
      <c r="K342" s="79">
        <v>10150</v>
      </c>
      <c r="L342" s="79">
        <v>10000</v>
      </c>
      <c r="M342" s="76"/>
      <c r="N342" s="75" t="s">
        <v>298</v>
      </c>
      <c r="O342" s="80" t="s">
        <v>1850</v>
      </c>
      <c r="P342" s="81">
        <v>36951</v>
      </c>
      <c r="Q342" s="80" t="s">
        <v>336</v>
      </c>
      <c r="R342" s="81"/>
      <c r="S342" s="81"/>
      <c r="T342" s="81"/>
      <c r="U342" s="81"/>
      <c r="V342" s="76"/>
      <c r="W342" s="76"/>
      <c r="X342" s="5"/>
      <c r="Y342" s="5" t="s">
        <v>129</v>
      </c>
      <c r="Z342" s="76" t="s">
        <v>129</v>
      </c>
      <c r="AA342" s="82" t="s">
        <v>36</v>
      </c>
      <c r="AB342" s="83" t="s">
        <v>37</v>
      </c>
      <c r="AC342" s="84"/>
      <c r="AD342" s="76"/>
      <c r="AE342" s="76"/>
      <c r="AF342" s="76"/>
      <c r="AG342" s="84"/>
      <c r="AH342" s="76"/>
      <c r="AI342" s="76"/>
      <c r="AJ342" s="76"/>
      <c r="AK342" s="84"/>
      <c r="AL342" s="84"/>
      <c r="AM342" s="84"/>
      <c r="AN342" s="84"/>
      <c r="AO342" s="84"/>
    </row>
    <row r="343" spans="1:41" s="1" customFormat="1" ht="45" customHeight="1" x14ac:dyDescent="0.2">
      <c r="A343" s="75">
        <v>102</v>
      </c>
      <c r="B343" s="75"/>
      <c r="C343" s="76" t="s">
        <v>300</v>
      </c>
      <c r="D343" s="76" t="s">
        <v>1851</v>
      </c>
      <c r="E343" s="75" t="s">
        <v>1852</v>
      </c>
      <c r="F343" s="75" t="e">
        <f t="shared" si="57"/>
        <v>#VALUE!</v>
      </c>
      <c r="G343" s="85">
        <v>0.67500000000000004</v>
      </c>
      <c r="H343" s="78" t="e">
        <f t="shared" si="58"/>
        <v>#VALUE!</v>
      </c>
      <c r="I343" s="78"/>
      <c r="J343" s="75"/>
      <c r="K343" s="79">
        <v>9500</v>
      </c>
      <c r="L343" s="79">
        <v>10000</v>
      </c>
      <c r="M343" s="76"/>
      <c r="N343" s="75" t="s">
        <v>298</v>
      </c>
      <c r="O343" s="80" t="s">
        <v>1853</v>
      </c>
      <c r="P343" s="81">
        <v>39387</v>
      </c>
      <c r="Q343" s="80" t="s">
        <v>336</v>
      </c>
      <c r="R343" s="81"/>
      <c r="S343" s="81"/>
      <c r="T343" s="81">
        <v>36312</v>
      </c>
      <c r="U343" s="81">
        <v>38884</v>
      </c>
      <c r="V343" s="76"/>
      <c r="W343" s="76"/>
      <c r="X343" s="5"/>
      <c r="Y343" s="5" t="s">
        <v>129</v>
      </c>
      <c r="Z343" s="76" t="s">
        <v>129</v>
      </c>
      <c r="AA343" s="82" t="s">
        <v>36</v>
      </c>
      <c r="AB343" s="83" t="s">
        <v>37</v>
      </c>
      <c r="AC343" s="84"/>
      <c r="AD343" s="76"/>
      <c r="AE343" s="76"/>
      <c r="AF343" s="76"/>
      <c r="AG343" s="84"/>
      <c r="AH343" s="76"/>
      <c r="AI343" s="76"/>
      <c r="AJ343" s="76"/>
      <c r="AK343" s="84"/>
      <c r="AL343" s="84"/>
      <c r="AM343" s="84"/>
      <c r="AN343" s="84"/>
      <c r="AO343" s="84"/>
    </row>
    <row r="344" spans="1:41" s="1" customFormat="1" ht="45" customHeight="1" x14ac:dyDescent="0.2">
      <c r="A344" s="75">
        <v>103</v>
      </c>
      <c r="B344" s="75"/>
      <c r="C344" s="76" t="s">
        <v>300</v>
      </c>
      <c r="D344" s="76" t="s">
        <v>1854</v>
      </c>
      <c r="E344" s="75" t="s">
        <v>1855</v>
      </c>
      <c r="F344" s="75" t="e">
        <f t="shared" si="57"/>
        <v>#VALUE!</v>
      </c>
      <c r="G344" s="77">
        <v>0.65</v>
      </c>
      <c r="H344" s="78" t="e">
        <f t="shared" si="58"/>
        <v>#VALUE!</v>
      </c>
      <c r="I344" s="78"/>
      <c r="J344" s="75"/>
      <c r="K344" s="79">
        <f>11000+4400</f>
        <v>15400</v>
      </c>
      <c r="L344" s="79">
        <f>K344*G344</f>
        <v>10010</v>
      </c>
      <c r="M344" s="76"/>
      <c r="N344" s="75" t="s">
        <v>298</v>
      </c>
      <c r="O344" s="80" t="s">
        <v>1856</v>
      </c>
      <c r="P344" s="81">
        <v>37314</v>
      </c>
      <c r="Q344" s="80" t="s">
        <v>336</v>
      </c>
      <c r="R344" s="81"/>
      <c r="S344" s="81"/>
      <c r="T344" s="81"/>
      <c r="U344" s="81"/>
      <c r="V344" s="76"/>
      <c r="W344" s="76"/>
      <c r="X344" s="5"/>
      <c r="Y344" s="5"/>
      <c r="Z344" s="76" t="s">
        <v>1032</v>
      </c>
      <c r="AA344" s="82" t="s">
        <v>36</v>
      </c>
      <c r="AB344" s="83" t="s">
        <v>37</v>
      </c>
      <c r="AC344" s="84"/>
      <c r="AD344" s="76"/>
      <c r="AE344" s="76"/>
      <c r="AF344" s="76"/>
      <c r="AG344" s="84"/>
      <c r="AH344" s="76"/>
      <c r="AI344" s="76"/>
      <c r="AJ344" s="76"/>
      <c r="AK344" s="84"/>
      <c r="AL344" s="84"/>
      <c r="AM344" s="84"/>
      <c r="AN344" s="84"/>
      <c r="AO344" s="84"/>
    </row>
    <row r="345" spans="1:41" s="1" customFormat="1" ht="45" customHeight="1" x14ac:dyDescent="0.2">
      <c r="A345" s="75">
        <v>104</v>
      </c>
      <c r="B345" s="75"/>
      <c r="C345" s="76" t="s">
        <v>300</v>
      </c>
      <c r="D345" s="76" t="s">
        <v>1857</v>
      </c>
      <c r="E345" s="75" t="s">
        <v>1858</v>
      </c>
      <c r="F345" s="75" t="e">
        <f t="shared" si="57"/>
        <v>#VALUE!</v>
      </c>
      <c r="G345" s="85">
        <v>0.67500000000000004</v>
      </c>
      <c r="H345" s="78" t="e">
        <f t="shared" si="58"/>
        <v>#VALUE!</v>
      </c>
      <c r="I345" s="78"/>
      <c r="J345" s="75"/>
      <c r="K345" s="79">
        <v>10150</v>
      </c>
      <c r="L345" s="79">
        <v>10000</v>
      </c>
      <c r="M345" s="76"/>
      <c r="N345" s="75" t="s">
        <v>298</v>
      </c>
      <c r="O345" s="80" t="s">
        <v>1859</v>
      </c>
      <c r="P345" s="81">
        <v>36951</v>
      </c>
      <c r="Q345" s="80" t="s">
        <v>336</v>
      </c>
      <c r="R345" s="81"/>
      <c r="S345" s="81"/>
      <c r="T345" s="81"/>
      <c r="U345" s="81"/>
      <c r="V345" s="76"/>
      <c r="W345" s="76"/>
      <c r="X345" s="5"/>
      <c r="Y345" s="5"/>
      <c r="Z345" s="76" t="s">
        <v>1032</v>
      </c>
      <c r="AA345" s="82" t="s">
        <v>36</v>
      </c>
      <c r="AB345" s="83" t="s">
        <v>37</v>
      </c>
      <c r="AC345" s="84"/>
      <c r="AD345" s="76"/>
      <c r="AE345" s="76"/>
      <c r="AF345" s="76"/>
      <c r="AG345" s="84"/>
      <c r="AH345" s="76"/>
      <c r="AI345" s="76"/>
      <c r="AJ345" s="76"/>
      <c r="AK345" s="84"/>
      <c r="AL345" s="84"/>
      <c r="AM345" s="84"/>
      <c r="AN345" s="84"/>
      <c r="AO345" s="84"/>
    </row>
    <row r="346" spans="1:41" s="1" customFormat="1" ht="45" customHeight="1" x14ac:dyDescent="0.2">
      <c r="A346" s="75">
        <v>105</v>
      </c>
      <c r="B346" s="75"/>
      <c r="C346" s="76" t="s">
        <v>300</v>
      </c>
      <c r="D346" s="76" t="s">
        <v>1860</v>
      </c>
      <c r="E346" s="75" t="s">
        <v>1861</v>
      </c>
      <c r="F346" s="75" t="e">
        <f t="shared" si="57"/>
        <v>#VALUE!</v>
      </c>
      <c r="G346" s="77">
        <v>0.65</v>
      </c>
      <c r="H346" s="78" t="e">
        <f t="shared" si="58"/>
        <v>#VALUE!</v>
      </c>
      <c r="I346" s="78"/>
      <c r="J346" s="75"/>
      <c r="K346" s="79">
        <f>11600+4400</f>
        <v>16000</v>
      </c>
      <c r="L346" s="79">
        <f>K346*G346</f>
        <v>10400</v>
      </c>
      <c r="M346" s="76"/>
      <c r="N346" s="75" t="s">
        <v>298</v>
      </c>
      <c r="O346" s="80" t="s">
        <v>1862</v>
      </c>
      <c r="P346" s="81">
        <v>37314</v>
      </c>
      <c r="Q346" s="80" t="s">
        <v>336</v>
      </c>
      <c r="R346" s="81"/>
      <c r="S346" s="81"/>
      <c r="T346" s="81"/>
      <c r="U346" s="81"/>
      <c r="V346" s="76"/>
      <c r="W346" s="76"/>
      <c r="X346" s="5"/>
      <c r="Y346" s="5"/>
      <c r="Z346" s="76" t="s">
        <v>1032</v>
      </c>
      <c r="AA346" s="82" t="s">
        <v>36</v>
      </c>
      <c r="AB346" s="83" t="s">
        <v>37</v>
      </c>
      <c r="AC346" s="84"/>
      <c r="AD346" s="76"/>
      <c r="AE346" s="76"/>
      <c r="AF346" s="76"/>
      <c r="AG346" s="84"/>
      <c r="AH346" s="76"/>
      <c r="AI346" s="76"/>
      <c r="AJ346" s="76"/>
      <c r="AK346" s="84"/>
      <c r="AL346" s="84"/>
      <c r="AM346" s="84"/>
      <c r="AN346" s="84"/>
      <c r="AO346" s="84"/>
    </row>
    <row r="347" spans="1:41" s="1" customFormat="1" ht="45" customHeight="1" x14ac:dyDescent="0.2">
      <c r="A347" s="75">
        <v>106</v>
      </c>
      <c r="B347" s="75"/>
      <c r="C347" s="76" t="s">
        <v>300</v>
      </c>
      <c r="D347" s="76" t="s">
        <v>1863</v>
      </c>
      <c r="E347" s="75" t="s">
        <v>1864</v>
      </c>
      <c r="F347" s="75" t="e">
        <f t="shared" si="57"/>
        <v>#VALUE!</v>
      </c>
      <c r="G347" s="77">
        <v>0.6</v>
      </c>
      <c r="H347" s="78" t="e">
        <f t="shared" si="58"/>
        <v>#VALUE!</v>
      </c>
      <c r="I347" s="78"/>
      <c r="J347" s="75"/>
      <c r="K347" s="79">
        <v>11000</v>
      </c>
      <c r="L347" s="79">
        <v>10000</v>
      </c>
      <c r="M347" s="76" t="s">
        <v>1836</v>
      </c>
      <c r="N347" s="75" t="s">
        <v>298</v>
      </c>
      <c r="O347" s="80" t="s">
        <v>1865</v>
      </c>
      <c r="P347" s="81">
        <v>39142</v>
      </c>
      <c r="Q347" s="76" t="s">
        <v>1962</v>
      </c>
      <c r="R347" s="81"/>
      <c r="S347" s="81"/>
      <c r="T347" s="81"/>
      <c r="U347" s="81"/>
      <c r="V347" s="76"/>
      <c r="W347" s="76"/>
      <c r="X347" s="5"/>
      <c r="Y347" s="5" t="s">
        <v>129</v>
      </c>
      <c r="Z347" s="76" t="s">
        <v>129</v>
      </c>
      <c r="AA347" s="82" t="s">
        <v>36</v>
      </c>
      <c r="AB347" s="83" t="s">
        <v>37</v>
      </c>
      <c r="AC347" s="84"/>
      <c r="AD347" s="76"/>
      <c r="AE347" s="76"/>
      <c r="AF347" s="76"/>
      <c r="AG347" s="84"/>
      <c r="AH347" s="76"/>
      <c r="AI347" s="76"/>
      <c r="AJ347" s="76"/>
      <c r="AK347" s="84"/>
      <c r="AL347" s="84"/>
      <c r="AM347" s="84"/>
      <c r="AN347" s="84"/>
      <c r="AO347" s="84"/>
    </row>
    <row r="348" spans="1:41" s="1" customFormat="1" ht="45" customHeight="1" x14ac:dyDescent="0.2">
      <c r="A348" s="75">
        <v>107</v>
      </c>
      <c r="B348" s="75"/>
      <c r="C348" s="76" t="s">
        <v>300</v>
      </c>
      <c r="D348" s="76" t="s">
        <v>1866</v>
      </c>
      <c r="E348" s="75" t="s">
        <v>1867</v>
      </c>
      <c r="F348" s="75" t="e">
        <f t="shared" si="57"/>
        <v>#VALUE!</v>
      </c>
      <c r="G348" s="77">
        <v>0.6</v>
      </c>
      <c r="H348" s="78" t="e">
        <f t="shared" si="58"/>
        <v>#VALUE!</v>
      </c>
      <c r="I348" s="78"/>
      <c r="J348" s="75"/>
      <c r="K348" s="79">
        <v>70000</v>
      </c>
      <c r="L348" s="79">
        <f>K348*G348</f>
        <v>42000</v>
      </c>
      <c r="M348" s="76" t="s">
        <v>1836</v>
      </c>
      <c r="N348" s="75" t="s">
        <v>298</v>
      </c>
      <c r="O348" s="80" t="s">
        <v>1868</v>
      </c>
      <c r="P348" s="81">
        <v>39264</v>
      </c>
      <c r="Q348" s="76" t="s">
        <v>1962</v>
      </c>
      <c r="R348" s="81"/>
      <c r="S348" s="81"/>
      <c r="T348" s="81"/>
      <c r="U348" s="81"/>
      <c r="V348" s="76"/>
      <c r="W348" s="76"/>
      <c r="X348" s="5" t="s">
        <v>1841</v>
      </c>
      <c r="Y348" s="5"/>
      <c r="Z348" s="76" t="s">
        <v>268</v>
      </c>
      <c r="AA348" s="82" t="s">
        <v>36</v>
      </c>
      <c r="AB348" s="83" t="s">
        <v>37</v>
      </c>
      <c r="AC348" s="84"/>
      <c r="AD348" s="76"/>
      <c r="AE348" s="76"/>
      <c r="AF348" s="76"/>
      <c r="AG348" s="84"/>
      <c r="AH348" s="76"/>
      <c r="AI348" s="76"/>
      <c r="AJ348" s="76"/>
      <c r="AK348" s="84"/>
      <c r="AL348" s="84"/>
      <c r="AM348" s="84"/>
      <c r="AN348" s="84"/>
      <c r="AO348" s="84"/>
    </row>
    <row r="349" spans="1:41" s="1" customFormat="1" ht="45" customHeight="1" x14ac:dyDescent="0.2">
      <c r="A349" s="75">
        <v>108</v>
      </c>
      <c r="B349" s="75"/>
      <c r="C349" s="76" t="s">
        <v>300</v>
      </c>
      <c r="D349" s="76" t="s">
        <v>1869</v>
      </c>
      <c r="E349" s="75" t="s">
        <v>1870</v>
      </c>
      <c r="F349" s="75" t="e">
        <f t="shared" ref="F349" si="59">DATEDIF(P349,Q349,"y") + DATEDIF(T349,U349,"y") + DATEDIF(V349,W349,"y") + SUM(AD349) &amp; " años " &amp; DATEDIF(P349,Q349,"ym") + DATEDIF(T349,U349,"ym") + DATEDIF(V349,W349,"ym") + SUM(AE349) - SUM(AI349) &amp; " meses " &amp; DATEDIF(P349,Q349,"md") + DATEDIF(T349,U349,"md") + DATEDIF(V349,W349,"md") - SUM(AJ349) &amp; " días"</f>
        <v>#VALUE!</v>
      </c>
      <c r="G349" s="77">
        <v>0.7</v>
      </c>
      <c r="H349" s="78" t="e">
        <f t="shared" si="58"/>
        <v>#VALUE!</v>
      </c>
      <c r="I349" s="78"/>
      <c r="J349" s="75"/>
      <c r="K349" s="79">
        <v>11000</v>
      </c>
      <c r="L349" s="79">
        <v>10000</v>
      </c>
      <c r="M349" s="76"/>
      <c r="N349" s="75" t="s">
        <v>298</v>
      </c>
      <c r="O349" s="80" t="s">
        <v>1871</v>
      </c>
      <c r="P349" s="81">
        <v>36586</v>
      </c>
      <c r="Q349" s="80" t="s">
        <v>336</v>
      </c>
      <c r="R349" s="81"/>
      <c r="S349" s="81"/>
      <c r="T349" s="81"/>
      <c r="U349" s="81"/>
      <c r="V349" s="76"/>
      <c r="W349" s="76"/>
      <c r="X349" s="5"/>
      <c r="Y349" s="5"/>
      <c r="Z349" s="76" t="s">
        <v>190</v>
      </c>
      <c r="AA349" s="82" t="s">
        <v>36</v>
      </c>
      <c r="AB349" s="83" t="s">
        <v>37</v>
      </c>
      <c r="AC349" s="84"/>
      <c r="AD349" s="76"/>
      <c r="AE349" s="76"/>
      <c r="AF349" s="76"/>
      <c r="AG349" s="84"/>
      <c r="AH349" s="76"/>
      <c r="AI349" s="76"/>
      <c r="AJ349" s="76"/>
      <c r="AK349" s="84"/>
      <c r="AL349" s="84"/>
      <c r="AM349" s="84"/>
      <c r="AN349" s="84"/>
      <c r="AO349" s="84"/>
    </row>
    <row r="350" spans="1:41" s="1" customFormat="1" ht="45" customHeight="1" x14ac:dyDescent="0.2">
      <c r="A350" s="75">
        <v>109</v>
      </c>
      <c r="B350" s="75"/>
      <c r="C350" s="76" t="s">
        <v>300</v>
      </c>
      <c r="D350" s="76" t="s">
        <v>1872</v>
      </c>
      <c r="E350" s="75" t="s">
        <v>1873</v>
      </c>
      <c r="F350" s="75" t="e">
        <f>DATEDIF(P350,Q350,"y") + DATEDIF(T350,U350,"y") + DATEDIF(V350,W350,"y") + SUM(AD350) &amp; " años " &amp; DATEDIF(P350,Q350,"ym") + DATEDIF(T350,U350,"ym") + DATEDIF(V350,W350,"ym") + SUM(AE350) - SUM(AI350) &amp; " meses " &amp; DATEDIF(P350,Q350,"md") + DATEDIF(T350,U350,"md") + DATEDIF(V350,W350,"md") - SUM(AJ350) &amp; " días"</f>
        <v>#VALUE!</v>
      </c>
      <c r="G350" s="85">
        <v>0.67500000000000004</v>
      </c>
      <c r="H350" s="78" t="e">
        <f>DATEDIF(R350,Q350,"y") &amp; " años " &amp; DATEDIF(R350,Q350,"ym") &amp; " meses " &amp; DATEDIF(R350,Q350,"md") &amp; " días"</f>
        <v>#VALUE!</v>
      </c>
      <c r="I350" s="78"/>
      <c r="J350" s="75"/>
      <c r="K350" s="79">
        <v>15600</v>
      </c>
      <c r="L350" s="79">
        <f>K350*G350</f>
        <v>10530</v>
      </c>
      <c r="M350" s="76"/>
      <c r="N350" s="75" t="s">
        <v>298</v>
      </c>
      <c r="O350" s="80" t="s">
        <v>1874</v>
      </c>
      <c r="P350" s="81">
        <v>36951</v>
      </c>
      <c r="Q350" s="80" t="s">
        <v>336</v>
      </c>
      <c r="R350" s="81"/>
      <c r="S350" s="81"/>
      <c r="T350" s="81"/>
      <c r="U350" s="81"/>
      <c r="V350" s="76"/>
      <c r="W350" s="76"/>
      <c r="X350" s="5"/>
      <c r="Y350" s="5" t="s">
        <v>129</v>
      </c>
      <c r="Z350" s="76" t="s">
        <v>129</v>
      </c>
      <c r="AA350" s="82" t="s">
        <v>36</v>
      </c>
      <c r="AB350" s="83" t="s">
        <v>37</v>
      </c>
      <c r="AC350" s="84"/>
      <c r="AD350" s="76"/>
      <c r="AE350" s="76"/>
      <c r="AF350" s="76"/>
      <c r="AG350" s="84"/>
      <c r="AH350" s="76"/>
      <c r="AI350" s="76"/>
      <c r="AJ350" s="76"/>
      <c r="AK350" s="84"/>
      <c r="AL350" s="84"/>
      <c r="AM350" s="84"/>
      <c r="AN350" s="84"/>
      <c r="AO350" s="84"/>
    </row>
    <row r="351" spans="1:41" s="1" customFormat="1" ht="45" customHeight="1" x14ac:dyDescent="0.2">
      <c r="A351" s="75">
        <v>110</v>
      </c>
      <c r="B351" s="75"/>
      <c r="C351" s="76" t="s">
        <v>300</v>
      </c>
      <c r="D351" s="76" t="s">
        <v>1875</v>
      </c>
      <c r="E351" s="75" t="s">
        <v>1876</v>
      </c>
      <c r="F351" s="75" t="e">
        <f>DATEDIF(P351,Q351,"y") + DATEDIF(T351,U351,"y") + DATEDIF(V351,W351,"y") + SUM(AD351) &amp; " años " &amp; DATEDIF(P351,Q351,"ym") + DATEDIF(T351,U351,"ym") + DATEDIF(V351,W351,"ym") + SUM(AE351) - SUM(AI351) &amp; " meses " &amp; DATEDIF(P351,Q351,"md") + DATEDIF(T351,U351,"md") + DATEDIF(V351,W351,"md") - SUM(AJ351) &amp; " días"</f>
        <v>#VALUE!</v>
      </c>
      <c r="G351" s="77">
        <v>0.7</v>
      </c>
      <c r="H351" s="78" t="e">
        <f>DATEDIF(R351,Q351,"y") &amp; " años " &amp; DATEDIF(R351,Q351,"ym") &amp; " meses " &amp; DATEDIF(R351,Q351,"md") &amp; " días"</f>
        <v>#VALUE!</v>
      </c>
      <c r="I351" s="78"/>
      <c r="J351" s="75"/>
      <c r="K351" s="79">
        <v>12500</v>
      </c>
      <c r="L351" s="79">
        <v>10000</v>
      </c>
      <c r="M351" s="76"/>
      <c r="N351" s="75" t="s">
        <v>298</v>
      </c>
      <c r="O351" s="80" t="s">
        <v>1877</v>
      </c>
      <c r="P351" s="81">
        <v>36465</v>
      </c>
      <c r="Q351" s="80" t="s">
        <v>336</v>
      </c>
      <c r="R351" s="81"/>
      <c r="S351" s="81"/>
      <c r="T351" s="81"/>
      <c r="U351" s="81"/>
      <c r="V351" s="76"/>
      <c r="W351" s="76"/>
      <c r="X351" s="5"/>
      <c r="Y351" s="5"/>
      <c r="Z351" s="76" t="s">
        <v>1032</v>
      </c>
      <c r="AA351" s="82" t="s">
        <v>36</v>
      </c>
      <c r="AB351" s="83" t="s">
        <v>37</v>
      </c>
      <c r="AC351" s="84"/>
      <c r="AD351" s="76"/>
      <c r="AE351" s="76"/>
      <c r="AF351" s="76"/>
      <c r="AG351" s="84"/>
      <c r="AH351" s="76"/>
      <c r="AI351" s="76"/>
      <c r="AJ351" s="76"/>
      <c r="AK351" s="84"/>
      <c r="AL351" s="84"/>
      <c r="AM351" s="84"/>
      <c r="AN351" s="84"/>
      <c r="AO351" s="84"/>
    </row>
    <row r="352" spans="1:41" s="1" customFormat="1" ht="45" customHeight="1" x14ac:dyDescent="0.2">
      <c r="A352" s="75">
        <v>111</v>
      </c>
      <c r="B352" s="75"/>
      <c r="C352" s="76" t="s">
        <v>300</v>
      </c>
      <c r="D352" s="76" t="s">
        <v>1878</v>
      </c>
      <c r="E352" s="75" t="s">
        <v>1879</v>
      </c>
      <c r="F352" s="75" t="e">
        <f t="shared" ref="F352" si="60">DATEDIF(P352,Q352,"y") + DATEDIF(T352,U352,"y") + DATEDIF(V352,W352,"y") + SUM(AD352) &amp; " años " &amp; DATEDIF(P352,Q352,"ym") + DATEDIF(T352,U352,"ym") + DATEDIF(V352,W352,"ym") + SUM(AE352) - SUM(AI352) &amp; " meses " &amp; DATEDIF(P352,Q352,"md") + DATEDIF(T352,U352,"md") + DATEDIF(V352,W352,"md") - SUM(AJ352) &amp; " días"</f>
        <v>#VALUE!</v>
      </c>
      <c r="G352" s="77">
        <v>0.8</v>
      </c>
      <c r="H352" s="78" t="e">
        <f t="shared" ref="H352" si="61">DATEDIF(R352,Q352,"y") &amp; " años " &amp; DATEDIF(R352,Q352,"ym") &amp; " meses " &amp; DATEDIF(R352,Q352,"md") &amp; " días"</f>
        <v>#VALUE!</v>
      </c>
      <c r="I352" s="78"/>
      <c r="J352" s="75"/>
      <c r="K352" s="79"/>
      <c r="L352" s="79">
        <v>10000</v>
      </c>
      <c r="M352" s="76"/>
      <c r="N352" s="75" t="s">
        <v>298</v>
      </c>
      <c r="O352" s="80" t="s">
        <v>1880</v>
      </c>
      <c r="P352" s="81">
        <v>35122</v>
      </c>
      <c r="Q352" s="80" t="s">
        <v>336</v>
      </c>
      <c r="R352" s="81"/>
      <c r="S352" s="81"/>
      <c r="T352" s="81"/>
      <c r="U352" s="81"/>
      <c r="V352" s="76"/>
      <c r="W352" s="76"/>
      <c r="X352" s="5"/>
      <c r="Y352" s="5"/>
      <c r="Z352" s="76" t="s">
        <v>129</v>
      </c>
      <c r="AA352" s="82" t="s">
        <v>36</v>
      </c>
      <c r="AB352" s="83" t="s">
        <v>37</v>
      </c>
      <c r="AC352" s="84"/>
      <c r="AD352" s="76"/>
      <c r="AE352" s="76"/>
      <c r="AF352" s="76"/>
      <c r="AG352" s="84"/>
      <c r="AH352" s="76"/>
      <c r="AI352" s="76"/>
      <c r="AJ352" s="76"/>
      <c r="AK352" s="84"/>
      <c r="AL352" s="84"/>
      <c r="AM352" s="84"/>
      <c r="AN352" s="84"/>
      <c r="AO352" s="84"/>
    </row>
    <row r="353" spans="1:41" s="1" customFormat="1" ht="45" customHeight="1" x14ac:dyDescent="0.2">
      <c r="A353" s="75">
        <v>112</v>
      </c>
      <c r="B353" s="75"/>
      <c r="C353" s="76" t="s">
        <v>300</v>
      </c>
      <c r="D353" s="76" t="s">
        <v>1881</v>
      </c>
      <c r="E353" s="75" t="s">
        <v>1882</v>
      </c>
      <c r="F353" s="75" t="e">
        <f t="shared" si="57"/>
        <v>#VALUE!</v>
      </c>
      <c r="G353" s="85">
        <v>0.67500000000000004</v>
      </c>
      <c r="H353" s="78" t="e">
        <f t="shared" si="58"/>
        <v>#VALUE!</v>
      </c>
      <c r="I353" s="78"/>
      <c r="J353" s="75"/>
      <c r="K353" s="79">
        <v>13500</v>
      </c>
      <c r="L353" s="79">
        <v>10000</v>
      </c>
      <c r="M353" s="76"/>
      <c r="N353" s="75" t="s">
        <v>298</v>
      </c>
      <c r="O353" s="80" t="s">
        <v>1883</v>
      </c>
      <c r="P353" s="81">
        <v>36951</v>
      </c>
      <c r="Q353" s="80" t="s">
        <v>336</v>
      </c>
      <c r="R353" s="81"/>
      <c r="S353" s="81"/>
      <c r="T353" s="81"/>
      <c r="U353" s="81"/>
      <c r="V353" s="76"/>
      <c r="W353" s="76"/>
      <c r="X353" s="5" t="s">
        <v>1841</v>
      </c>
      <c r="Y353" s="5"/>
      <c r="Z353" s="76" t="s">
        <v>268</v>
      </c>
      <c r="AA353" s="82" t="s">
        <v>36</v>
      </c>
      <c r="AB353" s="83" t="s">
        <v>37</v>
      </c>
      <c r="AC353" s="84"/>
      <c r="AD353" s="76"/>
      <c r="AE353" s="76"/>
      <c r="AF353" s="76"/>
      <c r="AG353" s="84"/>
      <c r="AH353" s="76"/>
      <c r="AI353" s="76"/>
      <c r="AJ353" s="76"/>
      <c r="AK353" s="84"/>
      <c r="AL353" s="84"/>
      <c r="AM353" s="84"/>
      <c r="AN353" s="84"/>
      <c r="AO353" s="84"/>
    </row>
    <row r="354" spans="1:41" s="1" customFormat="1" ht="45" customHeight="1" x14ac:dyDescent="0.2">
      <c r="A354" s="75">
        <v>113</v>
      </c>
      <c r="B354" s="75"/>
      <c r="C354" s="76" t="s">
        <v>300</v>
      </c>
      <c r="D354" s="76" t="s">
        <v>1884</v>
      </c>
      <c r="E354" s="75" t="s">
        <v>1885</v>
      </c>
      <c r="F354" s="75" t="e">
        <f t="shared" si="57"/>
        <v>#VALUE!</v>
      </c>
      <c r="G354" s="77">
        <v>0.6</v>
      </c>
      <c r="H354" s="78" t="e">
        <f t="shared" si="58"/>
        <v>#VALUE!</v>
      </c>
      <c r="I354" s="78"/>
      <c r="J354" s="75"/>
      <c r="K354" s="79">
        <v>10150</v>
      </c>
      <c r="L354" s="79">
        <v>10000</v>
      </c>
      <c r="M354" s="76" t="s">
        <v>1836</v>
      </c>
      <c r="N354" s="75" t="s">
        <v>298</v>
      </c>
      <c r="O354" s="80" t="s">
        <v>1886</v>
      </c>
      <c r="P354" s="81">
        <v>39387</v>
      </c>
      <c r="Q354" s="76" t="s">
        <v>1962</v>
      </c>
      <c r="R354" s="81"/>
      <c r="S354" s="81"/>
      <c r="T354" s="81"/>
      <c r="U354" s="81"/>
      <c r="V354" s="76"/>
      <c r="W354" s="76"/>
      <c r="X354" s="5" t="s">
        <v>1841</v>
      </c>
      <c r="Y354" s="5"/>
      <c r="Z354" s="76" t="s">
        <v>268</v>
      </c>
      <c r="AA354" s="82" t="s">
        <v>36</v>
      </c>
      <c r="AB354" s="83" t="s">
        <v>37</v>
      </c>
      <c r="AC354" s="84"/>
      <c r="AD354" s="76"/>
      <c r="AE354" s="76"/>
      <c r="AF354" s="76"/>
      <c r="AG354" s="84"/>
      <c r="AH354" s="76"/>
      <c r="AI354" s="76"/>
      <c r="AJ354" s="76"/>
      <c r="AK354" s="84"/>
      <c r="AL354" s="84"/>
      <c r="AM354" s="84"/>
      <c r="AN354" s="84"/>
      <c r="AO354" s="84"/>
    </row>
    <row r="355" spans="1:41" s="1" customFormat="1" ht="45" customHeight="1" x14ac:dyDescent="0.2">
      <c r="A355" s="75">
        <v>114</v>
      </c>
      <c r="B355" s="75"/>
      <c r="C355" s="76" t="s">
        <v>300</v>
      </c>
      <c r="D355" s="76" t="s">
        <v>1887</v>
      </c>
      <c r="E355" s="75" t="s">
        <v>1888</v>
      </c>
      <c r="F355" s="75" t="e">
        <f t="shared" ref="F355" si="62">DATEDIF(P355,Q355,"y") + DATEDIF(T355,U355,"y") + DATEDIF(V355,W355,"y") + SUM(AD355) &amp; " años " &amp; DATEDIF(P355,Q355,"ym") + DATEDIF(T355,U355,"ym") + DATEDIF(V355,W355,"ym") + SUM(AE355) - SUM(AI355) &amp; " meses " &amp; DATEDIF(P355,Q355,"md") + DATEDIF(T355,U355,"md") + DATEDIF(V355,W355,"md") - SUM(AJ355) &amp; " días"</f>
        <v>#VALUE!</v>
      </c>
      <c r="G355" s="77">
        <v>1</v>
      </c>
      <c r="H355" s="78" t="e">
        <f t="shared" si="58"/>
        <v>#VALUE!</v>
      </c>
      <c r="I355" s="78"/>
      <c r="J355" s="75"/>
      <c r="K355" s="79"/>
      <c r="L355" s="79">
        <v>10000</v>
      </c>
      <c r="M355" s="76" t="s">
        <v>1889</v>
      </c>
      <c r="N355" s="75" t="s">
        <v>33</v>
      </c>
      <c r="O355" s="80" t="s">
        <v>1890</v>
      </c>
      <c r="P355" s="81">
        <v>38078</v>
      </c>
      <c r="Q355" s="80" t="s">
        <v>1951</v>
      </c>
      <c r="R355" s="76" t="s">
        <v>1889</v>
      </c>
      <c r="S355" s="81"/>
      <c r="T355" s="81"/>
      <c r="U355" s="81"/>
      <c r="V355" s="76"/>
      <c r="W355" s="76"/>
      <c r="X355" s="5" t="s">
        <v>1027</v>
      </c>
      <c r="Y355" s="5"/>
      <c r="Z355" s="76" t="s">
        <v>1032</v>
      </c>
      <c r="AA355" s="82" t="s">
        <v>36</v>
      </c>
      <c r="AB355" s="83" t="s">
        <v>37</v>
      </c>
      <c r="AC355" s="84"/>
      <c r="AD355" s="76"/>
      <c r="AE355" s="76"/>
      <c r="AF355" s="76"/>
      <c r="AG355" s="84"/>
      <c r="AH355" s="76"/>
      <c r="AI355" s="76"/>
      <c r="AJ355" s="76"/>
      <c r="AK355" s="84"/>
      <c r="AL355" s="84"/>
      <c r="AM355" s="84"/>
      <c r="AN355" s="84"/>
      <c r="AO355" s="84"/>
    </row>
    <row r="356" spans="1:41" ht="12.75" customHeight="1" x14ac:dyDescent="0.25"/>
    <row r="357" spans="1:41" s="91" customFormat="1" x14ac:dyDescent="0.25">
      <c r="A357" s="191" t="s">
        <v>316</v>
      </c>
      <c r="B357" s="191"/>
      <c r="C357" s="191"/>
      <c r="D357" s="191"/>
      <c r="E357" s="191"/>
      <c r="F357" s="191"/>
      <c r="G357" s="191"/>
      <c r="H357" s="191"/>
      <c r="I357" s="191"/>
      <c r="J357" s="191"/>
      <c r="K357" s="138"/>
      <c r="L357" s="138"/>
      <c r="M357" s="138"/>
      <c r="N357" s="138"/>
      <c r="O357" s="138"/>
      <c r="P357" s="138"/>
      <c r="Q357" s="138"/>
      <c r="R357" s="138"/>
      <c r="S357" s="90"/>
      <c r="T357" s="90"/>
      <c r="Z357" s="52"/>
      <c r="AA357" s="52"/>
      <c r="AB357" s="52"/>
      <c r="AD357" s="92"/>
      <c r="AG357" s="93"/>
      <c r="AH357" s="181"/>
      <c r="AI357" s="181"/>
      <c r="AJ357" s="181"/>
      <c r="AL357" s="181"/>
      <c r="AM357" s="181"/>
      <c r="AN357" s="181"/>
    </row>
    <row r="358" spans="1:41" s="104" customFormat="1" ht="30" customHeight="1" x14ac:dyDescent="0.25">
      <c r="A358" s="94" t="s">
        <v>4</v>
      </c>
      <c r="B358" s="94" t="s">
        <v>5</v>
      </c>
      <c r="C358" s="95" t="s">
        <v>6</v>
      </c>
      <c r="D358" s="95" t="s">
        <v>7</v>
      </c>
      <c r="E358" s="94" t="s">
        <v>8</v>
      </c>
      <c r="F358" s="96" t="s">
        <v>9</v>
      </c>
      <c r="G358" s="96" t="s">
        <v>10</v>
      </c>
      <c r="H358" s="95" t="s">
        <v>11</v>
      </c>
      <c r="I358" s="97" t="s">
        <v>12</v>
      </c>
      <c r="J358" s="182" t="s">
        <v>13</v>
      </c>
      <c r="K358" s="183"/>
      <c r="L358" s="98" t="s">
        <v>14</v>
      </c>
      <c r="M358" s="99" t="s">
        <v>15</v>
      </c>
      <c r="N358" s="99" t="s">
        <v>16</v>
      </c>
      <c r="O358" s="99" t="s">
        <v>17</v>
      </c>
      <c r="P358" s="99" t="s">
        <v>18</v>
      </c>
      <c r="Q358" s="99" t="s">
        <v>335</v>
      </c>
      <c r="R358" s="99" t="s">
        <v>1950</v>
      </c>
      <c r="S358" s="100" t="s">
        <v>19</v>
      </c>
      <c r="T358" s="100" t="s">
        <v>20</v>
      </c>
      <c r="U358" s="101" t="s">
        <v>21</v>
      </c>
      <c r="V358" s="95" t="s">
        <v>13</v>
      </c>
      <c r="W358" s="100" t="s">
        <v>19</v>
      </c>
      <c r="X358" s="100" t="s">
        <v>20</v>
      </c>
      <c r="Y358" s="100" t="s">
        <v>19</v>
      </c>
      <c r="Z358" s="100" t="s">
        <v>20</v>
      </c>
      <c r="AA358" s="52"/>
      <c r="AB358" s="52"/>
      <c r="AC358" s="102"/>
      <c r="AD358" s="100" t="s">
        <v>22</v>
      </c>
      <c r="AE358" s="100" t="s">
        <v>23</v>
      </c>
      <c r="AF358" s="100" t="s">
        <v>24</v>
      </c>
      <c r="AG358" s="93"/>
      <c r="AH358" s="103" t="s">
        <v>25</v>
      </c>
      <c r="AI358" s="103" t="s">
        <v>26</v>
      </c>
      <c r="AJ358" s="103" t="s">
        <v>27</v>
      </c>
      <c r="AK358" s="93"/>
      <c r="AL358" s="103" t="s">
        <v>25</v>
      </c>
      <c r="AM358" s="103" t="s">
        <v>26</v>
      </c>
      <c r="AN358" s="103" t="s">
        <v>28</v>
      </c>
    </row>
    <row r="359" spans="1:41" s="1" customFormat="1" ht="45" customHeight="1" x14ac:dyDescent="0.2">
      <c r="A359" s="75">
        <v>1</v>
      </c>
      <c r="B359" s="75"/>
      <c r="C359" s="76" t="s">
        <v>300</v>
      </c>
      <c r="D359" s="76" t="s">
        <v>1891</v>
      </c>
      <c r="E359" s="75" t="s">
        <v>1892</v>
      </c>
      <c r="F359" s="75" t="e">
        <f t="shared" ref="F359:F377" si="63">DATEDIF(P359,Q359,"y") + DATEDIF(T359,U359,"y") + SUM(Z359) &amp; " años " &amp; DATEDIF(P359,Q359,"ym") + DATEDIF(T359,U359,"ym") + SUM(AA359) - SUM(AE359) &amp; " meses " &amp; DATEDIF(P359,Q359,"md") + DATEDIF(T359,U359,"md") - SUM(AF359) &amp; " días"</f>
        <v>#VALUE!</v>
      </c>
      <c r="G359" s="77">
        <v>0.6</v>
      </c>
      <c r="H359" s="78" t="e">
        <f t="shared" ref="H359:H377" si="64">DATEDIF(R359,Q359,"y") &amp; " años " &amp; DATEDIF(R359,Q359,"ym") &amp; " meses " &amp; DATEDIF(R359,Q359,"md") &amp; " días"</f>
        <v>#VALUE!</v>
      </c>
      <c r="I359" s="78"/>
      <c r="J359" s="75"/>
      <c r="K359" s="79">
        <v>10505.52</v>
      </c>
      <c r="L359" s="79">
        <v>10000</v>
      </c>
      <c r="M359" s="76" t="s">
        <v>1836</v>
      </c>
      <c r="N359" s="75" t="s">
        <v>298</v>
      </c>
      <c r="O359" s="80" t="s">
        <v>1893</v>
      </c>
      <c r="P359" s="81">
        <v>39126</v>
      </c>
      <c r="Q359" s="76" t="s">
        <v>1962</v>
      </c>
      <c r="R359" s="81"/>
      <c r="S359" s="81"/>
      <c r="T359" s="81"/>
      <c r="U359" s="81"/>
      <c r="V359" s="76"/>
      <c r="W359" s="76"/>
      <c r="X359" s="5"/>
      <c r="Y359" s="5" t="s">
        <v>190</v>
      </c>
      <c r="Z359" s="76" t="s">
        <v>190</v>
      </c>
      <c r="AA359" s="82" t="s">
        <v>36</v>
      </c>
      <c r="AB359" s="83" t="s">
        <v>37</v>
      </c>
      <c r="AC359" s="84"/>
      <c r="AD359" s="76"/>
      <c r="AE359" s="76"/>
      <c r="AF359" s="76"/>
      <c r="AG359" s="84"/>
      <c r="AH359" s="76"/>
      <c r="AI359" s="76"/>
      <c r="AJ359" s="76"/>
      <c r="AK359" s="84"/>
      <c r="AL359" s="84"/>
      <c r="AM359" s="84"/>
      <c r="AN359" s="84"/>
      <c r="AO359" s="84"/>
    </row>
    <row r="360" spans="1:41" s="1" customFormat="1" ht="45" customHeight="1" x14ac:dyDescent="0.2">
      <c r="A360" s="75">
        <v>2</v>
      </c>
      <c r="B360" s="75"/>
      <c r="C360" s="76" t="s">
        <v>300</v>
      </c>
      <c r="D360" s="76" t="s">
        <v>1894</v>
      </c>
      <c r="E360" s="75" t="s">
        <v>1895</v>
      </c>
      <c r="F360" s="75" t="e">
        <f t="shared" si="63"/>
        <v>#VALUE!</v>
      </c>
      <c r="G360" s="77">
        <v>0.6</v>
      </c>
      <c r="H360" s="78" t="e">
        <f t="shared" si="64"/>
        <v>#VALUE!</v>
      </c>
      <c r="I360" s="78"/>
      <c r="J360" s="75"/>
      <c r="K360" s="79">
        <v>12500</v>
      </c>
      <c r="L360" s="79">
        <v>10000</v>
      </c>
      <c r="M360" s="76" t="s">
        <v>1836</v>
      </c>
      <c r="N360" s="75" t="s">
        <v>298</v>
      </c>
      <c r="O360" s="80" t="s">
        <v>1896</v>
      </c>
      <c r="P360" s="81">
        <v>40294</v>
      </c>
      <c r="Q360" s="76" t="s">
        <v>1962</v>
      </c>
      <c r="R360" s="81"/>
      <c r="S360" s="81"/>
      <c r="T360" s="81"/>
      <c r="U360" s="81"/>
      <c r="V360" s="76"/>
      <c r="W360" s="76"/>
      <c r="X360" s="5"/>
      <c r="Y360" s="5" t="s">
        <v>190</v>
      </c>
      <c r="Z360" s="76" t="s">
        <v>190</v>
      </c>
      <c r="AA360" s="82" t="s">
        <v>36</v>
      </c>
      <c r="AB360" s="83" t="s">
        <v>37</v>
      </c>
      <c r="AC360" s="84"/>
      <c r="AD360" s="76"/>
      <c r="AE360" s="76"/>
      <c r="AF360" s="76"/>
      <c r="AG360" s="84"/>
      <c r="AH360" s="76"/>
      <c r="AI360" s="76"/>
      <c r="AJ360" s="76"/>
      <c r="AK360" s="84"/>
      <c r="AL360" s="84"/>
      <c r="AM360" s="84"/>
      <c r="AN360" s="84"/>
      <c r="AO360" s="84"/>
    </row>
    <row r="361" spans="1:41" s="1" customFormat="1" ht="45" customHeight="1" x14ac:dyDescent="0.2">
      <c r="A361" s="75">
        <v>3</v>
      </c>
      <c r="B361" s="75"/>
      <c r="C361" s="76" t="s">
        <v>300</v>
      </c>
      <c r="D361" s="76" t="s">
        <v>1897</v>
      </c>
      <c r="E361" s="75" t="s">
        <v>1898</v>
      </c>
      <c r="F361" s="75" t="e">
        <f t="shared" si="63"/>
        <v>#VALUE!</v>
      </c>
      <c r="G361" s="85">
        <v>0.67500000000000004</v>
      </c>
      <c r="H361" s="78" t="e">
        <f t="shared" si="64"/>
        <v>#VALUE!</v>
      </c>
      <c r="I361" s="78"/>
      <c r="J361" s="75"/>
      <c r="K361" s="79">
        <v>12500.14</v>
      </c>
      <c r="L361" s="79">
        <v>10000</v>
      </c>
      <c r="M361" s="76"/>
      <c r="N361" s="75" t="s">
        <v>298</v>
      </c>
      <c r="O361" s="80" t="s">
        <v>1899</v>
      </c>
      <c r="P361" s="81">
        <v>37071</v>
      </c>
      <c r="Q361" s="80" t="s">
        <v>336</v>
      </c>
      <c r="R361" s="81"/>
      <c r="S361" s="81"/>
      <c r="T361" s="81"/>
      <c r="U361" s="81"/>
      <c r="V361" s="76"/>
      <c r="W361" s="76"/>
      <c r="X361" s="5"/>
      <c r="Y361" s="5"/>
      <c r="Z361" s="76" t="s">
        <v>190</v>
      </c>
      <c r="AA361" s="82" t="s">
        <v>36</v>
      </c>
      <c r="AB361" s="83" t="s">
        <v>37</v>
      </c>
      <c r="AC361" s="84"/>
      <c r="AD361" s="76"/>
      <c r="AE361" s="76"/>
      <c r="AF361" s="76"/>
      <c r="AG361" s="84"/>
      <c r="AH361" s="76"/>
      <c r="AI361" s="76"/>
      <c r="AJ361" s="76"/>
      <c r="AK361" s="84"/>
      <c r="AL361" s="84"/>
      <c r="AM361" s="84"/>
      <c r="AN361" s="84"/>
      <c r="AO361" s="84"/>
    </row>
    <row r="362" spans="1:41" s="1" customFormat="1" ht="45" customHeight="1" x14ac:dyDescent="0.2">
      <c r="A362" s="75">
        <v>4</v>
      </c>
      <c r="B362" s="75"/>
      <c r="C362" s="76" t="s">
        <v>300</v>
      </c>
      <c r="D362" s="76" t="s">
        <v>1900</v>
      </c>
      <c r="E362" s="75" t="s">
        <v>1901</v>
      </c>
      <c r="F362" s="75" t="e">
        <f t="shared" si="63"/>
        <v>#VALUE!</v>
      </c>
      <c r="G362" s="77">
        <v>0.8</v>
      </c>
      <c r="H362" s="78" t="e">
        <f t="shared" si="64"/>
        <v>#VALUE!</v>
      </c>
      <c r="I362" s="78"/>
      <c r="J362" s="75"/>
      <c r="K362" s="79">
        <v>10150</v>
      </c>
      <c r="L362" s="79">
        <v>10000</v>
      </c>
      <c r="M362" s="76"/>
      <c r="N362" s="75" t="s">
        <v>298</v>
      </c>
      <c r="O362" s="80" t="s">
        <v>1902</v>
      </c>
      <c r="P362" s="81">
        <v>35144</v>
      </c>
      <c r="Q362" s="80" t="s">
        <v>336</v>
      </c>
      <c r="R362" s="81"/>
      <c r="S362" s="81"/>
      <c r="T362" s="81"/>
      <c r="U362" s="81"/>
      <c r="V362" s="76"/>
      <c r="W362" s="76"/>
      <c r="X362" s="5"/>
      <c r="Y362" s="5"/>
      <c r="Z362" s="76" t="s">
        <v>190</v>
      </c>
      <c r="AA362" s="82" t="s">
        <v>36</v>
      </c>
      <c r="AB362" s="83" t="s">
        <v>37</v>
      </c>
      <c r="AC362" s="84"/>
      <c r="AD362" s="76"/>
      <c r="AE362" s="76"/>
      <c r="AF362" s="76"/>
      <c r="AG362" s="84"/>
      <c r="AH362" s="76"/>
      <c r="AI362" s="76"/>
      <c r="AJ362" s="76"/>
      <c r="AK362" s="84"/>
      <c r="AL362" s="84"/>
      <c r="AM362" s="84"/>
      <c r="AN362" s="84"/>
      <c r="AO362" s="84"/>
    </row>
    <row r="363" spans="1:41" s="1" customFormat="1" ht="45" customHeight="1" x14ac:dyDescent="0.2">
      <c r="A363" s="75">
        <v>5</v>
      </c>
      <c r="B363" s="75"/>
      <c r="C363" s="76" t="s">
        <v>300</v>
      </c>
      <c r="D363" s="76" t="s">
        <v>1903</v>
      </c>
      <c r="E363" s="75" t="s">
        <v>1904</v>
      </c>
      <c r="F363" s="75" t="e">
        <f t="shared" si="63"/>
        <v>#VALUE!</v>
      </c>
      <c r="G363" s="77">
        <v>0.6</v>
      </c>
      <c r="H363" s="78" t="e">
        <f t="shared" si="64"/>
        <v>#VALUE!</v>
      </c>
      <c r="I363" s="78"/>
      <c r="J363" s="75"/>
      <c r="K363" s="79">
        <v>10000</v>
      </c>
      <c r="L363" s="79">
        <v>10000</v>
      </c>
      <c r="M363" s="76" t="s">
        <v>1836</v>
      </c>
      <c r="N363" s="75" t="s">
        <v>298</v>
      </c>
      <c r="O363" s="80" t="s">
        <v>1905</v>
      </c>
      <c r="P363" s="81">
        <v>40801</v>
      </c>
      <c r="Q363" s="76" t="s">
        <v>1962</v>
      </c>
      <c r="R363" s="81"/>
      <c r="S363" s="81"/>
      <c r="T363" s="81"/>
      <c r="U363" s="81"/>
      <c r="V363" s="76"/>
      <c r="W363" s="76"/>
      <c r="X363" s="5"/>
      <c r="Y363" s="5" t="s">
        <v>190</v>
      </c>
      <c r="Z363" s="76" t="s">
        <v>190</v>
      </c>
      <c r="AA363" s="82" t="s">
        <v>36</v>
      </c>
      <c r="AB363" s="83" t="s">
        <v>37</v>
      </c>
      <c r="AC363" s="84"/>
      <c r="AD363" s="76"/>
      <c r="AE363" s="76"/>
      <c r="AF363" s="76"/>
      <c r="AG363" s="84"/>
      <c r="AH363" s="76"/>
      <c r="AI363" s="76"/>
      <c r="AJ363" s="76"/>
      <c r="AK363" s="84"/>
      <c r="AL363" s="84"/>
      <c r="AM363" s="84"/>
      <c r="AN363" s="84"/>
      <c r="AO363" s="84"/>
    </row>
    <row r="364" spans="1:41" s="1" customFormat="1" ht="45" customHeight="1" x14ac:dyDescent="0.2">
      <c r="A364" s="75">
        <v>6</v>
      </c>
      <c r="B364" s="75"/>
      <c r="C364" s="76" t="s">
        <v>300</v>
      </c>
      <c r="D364" s="76" t="s">
        <v>1906</v>
      </c>
      <c r="E364" s="75" t="s">
        <v>1907</v>
      </c>
      <c r="F364" s="75" t="e">
        <f t="shared" si="63"/>
        <v>#VALUE!</v>
      </c>
      <c r="G364" s="85">
        <v>0.625</v>
      </c>
      <c r="H364" s="78" t="e">
        <f t="shared" si="64"/>
        <v>#VALUE!</v>
      </c>
      <c r="I364" s="78"/>
      <c r="J364" s="75"/>
      <c r="K364" s="79">
        <v>10000</v>
      </c>
      <c r="L364" s="79">
        <v>10000</v>
      </c>
      <c r="M364" s="76"/>
      <c r="N364" s="75" t="s">
        <v>298</v>
      </c>
      <c r="O364" s="80" t="s">
        <v>1908</v>
      </c>
      <c r="P364" s="81">
        <v>37798</v>
      </c>
      <c r="Q364" s="80" t="s">
        <v>336</v>
      </c>
      <c r="R364" s="81"/>
      <c r="S364" s="81"/>
      <c r="T364" s="81"/>
      <c r="U364" s="81"/>
      <c r="V364" s="76"/>
      <c r="W364" s="76"/>
      <c r="X364" s="5"/>
      <c r="Y364" s="5"/>
      <c r="Z364" s="76" t="s">
        <v>190</v>
      </c>
      <c r="AA364" s="82" t="s">
        <v>36</v>
      </c>
      <c r="AB364" s="83" t="s">
        <v>37</v>
      </c>
      <c r="AC364" s="84"/>
      <c r="AD364" s="76"/>
      <c r="AE364" s="76"/>
      <c r="AF364" s="76"/>
      <c r="AG364" s="84"/>
      <c r="AH364" s="76"/>
      <c r="AI364" s="76"/>
      <c r="AJ364" s="76"/>
      <c r="AK364" s="84"/>
      <c r="AL364" s="84"/>
      <c r="AM364" s="84"/>
      <c r="AN364" s="84"/>
      <c r="AO364" s="84"/>
    </row>
    <row r="365" spans="1:41" s="1" customFormat="1" ht="45" customHeight="1" x14ac:dyDescent="0.2">
      <c r="A365" s="75">
        <v>7</v>
      </c>
      <c r="B365" s="75"/>
      <c r="C365" s="76" t="s">
        <v>300</v>
      </c>
      <c r="D365" s="76" t="s">
        <v>1909</v>
      </c>
      <c r="E365" s="75" t="s">
        <v>1910</v>
      </c>
      <c r="F365" s="75" t="e">
        <f t="shared" si="63"/>
        <v>#VALUE!</v>
      </c>
      <c r="G365" s="77">
        <v>0.6</v>
      </c>
      <c r="H365" s="78" t="e">
        <f t="shared" si="64"/>
        <v>#VALUE!</v>
      </c>
      <c r="I365" s="78"/>
      <c r="J365" s="75"/>
      <c r="K365" s="79">
        <v>12500</v>
      </c>
      <c r="L365" s="79">
        <v>10000</v>
      </c>
      <c r="M365" s="76" t="s">
        <v>1836</v>
      </c>
      <c r="N365" s="75" t="s">
        <v>298</v>
      </c>
      <c r="O365" s="80" t="s">
        <v>1911</v>
      </c>
      <c r="P365" s="81">
        <v>41271</v>
      </c>
      <c r="Q365" s="76" t="s">
        <v>1962</v>
      </c>
      <c r="R365" s="81"/>
      <c r="S365" s="81"/>
      <c r="T365" s="81"/>
      <c r="U365" s="81"/>
      <c r="V365" s="76"/>
      <c r="W365" s="76"/>
      <c r="X365" s="5"/>
      <c r="Y365" s="5" t="s">
        <v>190</v>
      </c>
      <c r="Z365" s="76" t="s">
        <v>190</v>
      </c>
      <c r="AA365" s="82" t="s">
        <v>36</v>
      </c>
      <c r="AB365" s="83" t="s">
        <v>37</v>
      </c>
      <c r="AC365" s="84"/>
      <c r="AD365" s="76"/>
      <c r="AE365" s="76"/>
      <c r="AF365" s="76"/>
      <c r="AG365" s="84"/>
      <c r="AH365" s="76"/>
      <c r="AI365" s="76"/>
      <c r="AJ365" s="76"/>
      <c r="AK365" s="84"/>
      <c r="AL365" s="84"/>
      <c r="AM365" s="84"/>
      <c r="AN365" s="84"/>
      <c r="AO365" s="84"/>
    </row>
    <row r="366" spans="1:41" s="1" customFormat="1" ht="45" customHeight="1" x14ac:dyDescent="0.2">
      <c r="A366" s="75">
        <v>8</v>
      </c>
      <c r="B366" s="75"/>
      <c r="C366" s="76" t="s">
        <v>300</v>
      </c>
      <c r="D366" s="76" t="s">
        <v>1912</v>
      </c>
      <c r="E366" s="75" t="s">
        <v>1913</v>
      </c>
      <c r="F366" s="75" t="e">
        <f t="shared" si="63"/>
        <v>#VALUE!</v>
      </c>
      <c r="G366" s="77">
        <v>0.6</v>
      </c>
      <c r="H366" s="78" t="e">
        <f t="shared" si="64"/>
        <v>#VALUE!</v>
      </c>
      <c r="I366" s="78"/>
      <c r="J366" s="75"/>
      <c r="K366" s="79">
        <v>8278.18</v>
      </c>
      <c r="L366" s="79">
        <v>10000</v>
      </c>
      <c r="M366" s="76" t="s">
        <v>1836</v>
      </c>
      <c r="N366" s="75" t="s">
        <v>298</v>
      </c>
      <c r="O366" s="80" t="s">
        <v>1914</v>
      </c>
      <c r="P366" s="81">
        <v>39260</v>
      </c>
      <c r="Q366" s="76" t="s">
        <v>1962</v>
      </c>
      <c r="R366" s="81"/>
      <c r="S366" s="81"/>
      <c r="T366" s="81"/>
      <c r="U366" s="81"/>
      <c r="V366" s="76"/>
      <c r="W366" s="76"/>
      <c r="X366" s="5"/>
      <c r="Y366" s="5" t="s">
        <v>190</v>
      </c>
      <c r="Z366" s="76" t="s">
        <v>190</v>
      </c>
      <c r="AA366" s="82" t="s">
        <v>36</v>
      </c>
      <c r="AB366" s="83" t="s">
        <v>37</v>
      </c>
      <c r="AC366" s="84"/>
      <c r="AD366" s="76"/>
      <c r="AE366" s="76"/>
      <c r="AF366" s="76"/>
      <c r="AG366" s="84"/>
      <c r="AH366" s="76"/>
      <c r="AI366" s="76"/>
      <c r="AJ366" s="76"/>
      <c r="AK366" s="84"/>
      <c r="AL366" s="84"/>
      <c r="AM366" s="84"/>
      <c r="AN366" s="84"/>
      <c r="AO366" s="84"/>
    </row>
    <row r="367" spans="1:41" s="1" customFormat="1" ht="45" customHeight="1" x14ac:dyDescent="0.2">
      <c r="A367" s="75">
        <v>9</v>
      </c>
      <c r="B367" s="75"/>
      <c r="C367" s="76" t="s">
        <v>300</v>
      </c>
      <c r="D367" s="76" t="s">
        <v>1915</v>
      </c>
      <c r="E367" s="75" t="s">
        <v>1916</v>
      </c>
      <c r="F367" s="75" t="e">
        <f t="shared" si="63"/>
        <v>#VALUE!</v>
      </c>
      <c r="G367" s="85">
        <v>0.625</v>
      </c>
      <c r="H367" s="78" t="e">
        <f t="shared" si="64"/>
        <v>#VALUE!</v>
      </c>
      <c r="I367" s="78"/>
      <c r="J367" s="75"/>
      <c r="K367" s="79">
        <v>70000</v>
      </c>
      <c r="L367" s="79">
        <f>K367*G367</f>
        <v>43750</v>
      </c>
      <c r="M367" s="76"/>
      <c r="N367" s="75" t="s">
        <v>298</v>
      </c>
      <c r="O367" s="80" t="s">
        <v>1917</v>
      </c>
      <c r="P367" s="81">
        <v>37721</v>
      </c>
      <c r="Q367" s="80" t="s">
        <v>336</v>
      </c>
      <c r="R367" s="81"/>
      <c r="S367" s="81"/>
      <c r="T367" s="81"/>
      <c r="U367" s="81"/>
      <c r="V367" s="76"/>
      <c r="W367" s="76"/>
      <c r="X367" s="5"/>
      <c r="Y367" s="5"/>
      <c r="Z367" s="76" t="s">
        <v>190</v>
      </c>
      <c r="AA367" s="82" t="s">
        <v>36</v>
      </c>
      <c r="AB367" s="83" t="s">
        <v>37</v>
      </c>
      <c r="AC367" s="84"/>
      <c r="AD367" s="76"/>
      <c r="AE367" s="76"/>
      <c r="AF367" s="76"/>
      <c r="AG367" s="84"/>
      <c r="AH367" s="76"/>
      <c r="AI367" s="76"/>
      <c r="AJ367" s="76"/>
      <c r="AK367" s="84"/>
      <c r="AL367" s="84"/>
      <c r="AM367" s="84"/>
      <c r="AN367" s="84"/>
      <c r="AO367" s="84"/>
    </row>
    <row r="368" spans="1:41" s="1" customFormat="1" ht="45" customHeight="1" x14ac:dyDescent="0.2">
      <c r="A368" s="75">
        <v>10</v>
      </c>
      <c r="B368" s="75"/>
      <c r="C368" s="76" t="s">
        <v>300</v>
      </c>
      <c r="D368" s="76" t="s">
        <v>1918</v>
      </c>
      <c r="E368" s="75" t="s">
        <v>1919</v>
      </c>
      <c r="F368" s="75" t="e">
        <f t="shared" ref="F368:F371" si="65">DATEDIF(P368,Q368,"y") + DATEDIF(T368,U368,"y") + SUM(Z368) &amp; " años " &amp; DATEDIF(P368,Q368,"ym") + DATEDIF(T368,U368,"ym") + SUM(AA368) - SUM(AE368) &amp; " meses " &amp; DATEDIF(P368,Q368,"md") + DATEDIF(T368,U368,"md") - SUM(AF368) &amp; " días"</f>
        <v>#VALUE!</v>
      </c>
      <c r="G368" s="85">
        <v>0.625</v>
      </c>
      <c r="H368" s="78" t="e">
        <f t="shared" si="64"/>
        <v>#VALUE!</v>
      </c>
      <c r="I368" s="78"/>
      <c r="J368" s="75"/>
      <c r="K368" s="79">
        <f>12563.37</f>
        <v>12563.37</v>
      </c>
      <c r="L368" s="79">
        <v>10000</v>
      </c>
      <c r="M368" s="76"/>
      <c r="N368" s="75" t="s">
        <v>298</v>
      </c>
      <c r="O368" s="80" t="s">
        <v>1920</v>
      </c>
      <c r="P368" s="81">
        <v>37798</v>
      </c>
      <c r="Q368" s="80" t="s">
        <v>336</v>
      </c>
      <c r="R368" s="81"/>
      <c r="S368" s="81"/>
      <c r="T368" s="81"/>
      <c r="U368" s="81"/>
      <c r="V368" s="76"/>
      <c r="W368" s="76"/>
      <c r="X368" s="5"/>
      <c r="Y368" s="5" t="s">
        <v>190</v>
      </c>
      <c r="Z368" s="76" t="s">
        <v>190</v>
      </c>
      <c r="AA368" s="82" t="s">
        <v>36</v>
      </c>
      <c r="AB368" s="83" t="s">
        <v>37</v>
      </c>
      <c r="AC368" s="84"/>
      <c r="AD368" s="76"/>
      <c r="AE368" s="76"/>
      <c r="AF368" s="76"/>
      <c r="AG368" s="84"/>
      <c r="AH368" s="76"/>
      <c r="AI368" s="76"/>
      <c r="AJ368" s="76"/>
      <c r="AK368" s="84"/>
      <c r="AL368" s="84"/>
      <c r="AM368" s="84"/>
      <c r="AN368" s="84"/>
      <c r="AO368" s="84"/>
    </row>
    <row r="369" spans="1:41" s="1" customFormat="1" ht="45" customHeight="1" x14ac:dyDescent="0.2">
      <c r="A369" s="75">
        <v>11</v>
      </c>
      <c r="B369" s="75"/>
      <c r="C369" s="76" t="s">
        <v>300</v>
      </c>
      <c r="D369" s="76" t="s">
        <v>1921</v>
      </c>
      <c r="E369" s="75" t="s">
        <v>1922</v>
      </c>
      <c r="F369" s="75" t="e">
        <f t="shared" si="65"/>
        <v>#VALUE!</v>
      </c>
      <c r="G369" s="77">
        <v>0.6</v>
      </c>
      <c r="H369" s="78" t="e">
        <f t="shared" si="64"/>
        <v>#VALUE!</v>
      </c>
      <c r="I369" s="78"/>
      <c r="J369" s="75"/>
      <c r="K369" s="79">
        <v>10000</v>
      </c>
      <c r="L369" s="79">
        <v>10000</v>
      </c>
      <c r="M369" s="76" t="s">
        <v>1836</v>
      </c>
      <c r="N369" s="75" t="s">
        <v>298</v>
      </c>
      <c r="O369" s="80" t="s">
        <v>1923</v>
      </c>
      <c r="P369" s="81">
        <v>38471</v>
      </c>
      <c r="Q369" s="76" t="s">
        <v>1962</v>
      </c>
      <c r="R369" s="81"/>
      <c r="S369" s="81"/>
      <c r="T369" s="81"/>
      <c r="U369" s="81"/>
      <c r="V369" s="76"/>
      <c r="W369" s="76"/>
      <c r="X369" s="5"/>
      <c r="Y369" s="5"/>
      <c r="Z369" s="76" t="s">
        <v>190</v>
      </c>
      <c r="AA369" s="82" t="s">
        <v>36</v>
      </c>
      <c r="AB369" s="83" t="s">
        <v>37</v>
      </c>
      <c r="AC369" s="84"/>
      <c r="AD369" s="76"/>
      <c r="AE369" s="76"/>
      <c r="AF369" s="76"/>
      <c r="AG369" s="84"/>
      <c r="AH369" s="76"/>
      <c r="AI369" s="76"/>
      <c r="AJ369" s="76"/>
      <c r="AK369" s="84"/>
      <c r="AL369" s="84"/>
      <c r="AM369" s="84"/>
      <c r="AN369" s="84"/>
      <c r="AO369" s="84"/>
    </row>
    <row r="370" spans="1:41" s="1" customFormat="1" ht="45" customHeight="1" x14ac:dyDescent="0.2">
      <c r="A370" s="75">
        <v>12</v>
      </c>
      <c r="B370" s="75"/>
      <c r="C370" s="76" t="s">
        <v>300</v>
      </c>
      <c r="D370" s="76" t="s">
        <v>1924</v>
      </c>
      <c r="E370" s="75" t="s">
        <v>1925</v>
      </c>
      <c r="F370" s="75" t="e">
        <f t="shared" si="65"/>
        <v>#VALUE!</v>
      </c>
      <c r="G370" s="77">
        <v>0.6</v>
      </c>
      <c r="H370" s="78" t="e">
        <f t="shared" si="64"/>
        <v>#VALUE!</v>
      </c>
      <c r="I370" s="78"/>
      <c r="J370" s="75"/>
      <c r="K370" s="79">
        <v>11556</v>
      </c>
      <c r="L370" s="79">
        <v>10000</v>
      </c>
      <c r="M370" s="76" t="s">
        <v>1836</v>
      </c>
      <c r="N370" s="75" t="s">
        <v>298</v>
      </c>
      <c r="O370" s="80" t="s">
        <v>1926</v>
      </c>
      <c r="P370" s="81">
        <v>38303</v>
      </c>
      <c r="Q370" s="76" t="s">
        <v>1962</v>
      </c>
      <c r="R370" s="81"/>
      <c r="S370" s="81"/>
      <c r="T370" s="81"/>
      <c r="U370" s="81"/>
      <c r="V370" s="76"/>
      <c r="W370" s="76"/>
      <c r="X370" s="5"/>
      <c r="Y370" s="5"/>
      <c r="Z370" s="76" t="s">
        <v>129</v>
      </c>
      <c r="AA370" s="82" t="s">
        <v>36</v>
      </c>
      <c r="AB370" s="83" t="s">
        <v>37</v>
      </c>
      <c r="AC370" s="84"/>
      <c r="AD370" s="76"/>
      <c r="AE370" s="76"/>
      <c r="AF370" s="76"/>
      <c r="AG370" s="84"/>
      <c r="AH370" s="76"/>
      <c r="AI370" s="76"/>
      <c r="AJ370" s="76"/>
      <c r="AK370" s="84"/>
      <c r="AL370" s="84"/>
      <c r="AM370" s="84"/>
      <c r="AN370" s="84"/>
      <c r="AO370" s="84"/>
    </row>
    <row r="371" spans="1:41" s="1" customFormat="1" ht="45" customHeight="1" x14ac:dyDescent="0.2">
      <c r="A371" s="75">
        <v>13</v>
      </c>
      <c r="B371" s="75"/>
      <c r="C371" s="76" t="s">
        <v>300</v>
      </c>
      <c r="D371" s="76" t="s">
        <v>1927</v>
      </c>
      <c r="E371" s="75" t="s">
        <v>1928</v>
      </c>
      <c r="F371" s="75" t="e">
        <f t="shared" si="65"/>
        <v>#VALUE!</v>
      </c>
      <c r="G371" s="85">
        <v>0.67500000000000004</v>
      </c>
      <c r="H371" s="78" t="e">
        <f t="shared" si="64"/>
        <v>#VALUE!</v>
      </c>
      <c r="I371" s="78"/>
      <c r="J371" s="75"/>
      <c r="K371" s="79">
        <v>16500</v>
      </c>
      <c r="L371" s="79">
        <f>K371*G371</f>
        <v>11137.5</v>
      </c>
      <c r="M371" s="76"/>
      <c r="N371" s="75" t="s">
        <v>298</v>
      </c>
      <c r="O371" s="80" t="s">
        <v>1929</v>
      </c>
      <c r="P371" s="81">
        <v>36991</v>
      </c>
      <c r="Q371" s="80" t="s">
        <v>336</v>
      </c>
      <c r="R371" s="81"/>
      <c r="S371" s="81"/>
      <c r="T371" s="81"/>
      <c r="U371" s="81"/>
      <c r="V371" s="76"/>
      <c r="W371" s="76"/>
      <c r="X371" s="5"/>
      <c r="Y371" s="5"/>
      <c r="Z371" s="76" t="s">
        <v>129</v>
      </c>
      <c r="AA371" s="82" t="s">
        <v>36</v>
      </c>
      <c r="AB371" s="83" t="s">
        <v>37</v>
      </c>
      <c r="AC371" s="84"/>
      <c r="AD371" s="76"/>
      <c r="AE371" s="76"/>
      <c r="AF371" s="76"/>
      <c r="AG371" s="84"/>
      <c r="AH371" s="76"/>
      <c r="AI371" s="76"/>
      <c r="AJ371" s="76"/>
      <c r="AK371" s="84"/>
      <c r="AL371" s="84"/>
      <c r="AM371" s="84"/>
      <c r="AN371" s="84"/>
      <c r="AO371" s="84"/>
    </row>
    <row r="372" spans="1:41" s="1" customFormat="1" ht="45" customHeight="1" x14ac:dyDescent="0.2">
      <c r="A372" s="75">
        <v>14</v>
      </c>
      <c r="B372" s="75"/>
      <c r="C372" s="76" t="s">
        <v>300</v>
      </c>
      <c r="D372" s="76" t="s">
        <v>1930</v>
      </c>
      <c r="E372" s="75" t="s">
        <v>1931</v>
      </c>
      <c r="F372" s="75" t="e">
        <f t="shared" si="63"/>
        <v>#VALUE!</v>
      </c>
      <c r="G372" s="77">
        <v>0.6</v>
      </c>
      <c r="H372" s="78" t="e">
        <f t="shared" si="64"/>
        <v>#VALUE!</v>
      </c>
      <c r="I372" s="78"/>
      <c r="J372" s="75"/>
      <c r="K372" s="79">
        <v>8613.5</v>
      </c>
      <c r="L372" s="79">
        <v>10000</v>
      </c>
      <c r="M372" s="76" t="s">
        <v>1836</v>
      </c>
      <c r="N372" s="75" t="s">
        <v>298</v>
      </c>
      <c r="O372" s="80" t="s">
        <v>1932</v>
      </c>
      <c r="P372" s="81">
        <v>40011</v>
      </c>
      <c r="Q372" s="76" t="s">
        <v>1962</v>
      </c>
      <c r="R372" s="81"/>
      <c r="S372" s="81"/>
      <c r="T372" s="81"/>
      <c r="U372" s="81"/>
      <c r="V372" s="76"/>
      <c r="W372" s="76"/>
      <c r="X372" s="5"/>
      <c r="Y372" s="5" t="s">
        <v>190</v>
      </c>
      <c r="Z372" s="76" t="s">
        <v>190</v>
      </c>
      <c r="AA372" s="82" t="s">
        <v>36</v>
      </c>
      <c r="AB372" s="83" t="s">
        <v>37</v>
      </c>
      <c r="AC372" s="84"/>
      <c r="AD372" s="76"/>
      <c r="AE372" s="76"/>
      <c r="AF372" s="76"/>
      <c r="AG372" s="84"/>
      <c r="AH372" s="76"/>
      <c r="AI372" s="76"/>
      <c r="AJ372" s="76"/>
      <c r="AK372" s="84"/>
      <c r="AL372" s="84"/>
      <c r="AM372" s="84"/>
      <c r="AN372" s="84"/>
      <c r="AO372" s="84"/>
    </row>
    <row r="373" spans="1:41" s="1" customFormat="1" ht="45" customHeight="1" x14ac:dyDescent="0.2">
      <c r="A373" s="75">
        <v>15</v>
      </c>
      <c r="B373" s="75"/>
      <c r="C373" s="76" t="s">
        <v>300</v>
      </c>
      <c r="D373" s="76" t="s">
        <v>1933</v>
      </c>
      <c r="E373" s="75" t="s">
        <v>1934</v>
      </c>
      <c r="F373" s="75" t="e">
        <f t="shared" si="63"/>
        <v>#VALUE!</v>
      </c>
      <c r="G373" s="77">
        <v>0.6</v>
      </c>
      <c r="H373" s="78" t="e">
        <f t="shared" si="64"/>
        <v>#VALUE!</v>
      </c>
      <c r="I373" s="78"/>
      <c r="J373" s="75"/>
      <c r="K373" s="79">
        <v>12500</v>
      </c>
      <c r="L373" s="79">
        <v>10000</v>
      </c>
      <c r="M373" s="76" t="s">
        <v>1836</v>
      </c>
      <c r="N373" s="75" t="s">
        <v>298</v>
      </c>
      <c r="O373" s="80" t="s">
        <v>1935</v>
      </c>
      <c r="P373" s="81">
        <v>38252</v>
      </c>
      <c r="Q373" s="76" t="s">
        <v>1962</v>
      </c>
      <c r="R373" s="81"/>
      <c r="S373" s="81"/>
      <c r="T373" s="81"/>
      <c r="U373" s="81"/>
      <c r="V373" s="76"/>
      <c r="W373" s="76"/>
      <c r="X373" s="5"/>
      <c r="Y373" s="5"/>
      <c r="Z373" s="76" t="s">
        <v>190</v>
      </c>
      <c r="AA373" s="82" t="s">
        <v>36</v>
      </c>
      <c r="AB373" s="83" t="s">
        <v>37</v>
      </c>
      <c r="AC373" s="84"/>
      <c r="AD373" s="76"/>
      <c r="AE373" s="76"/>
      <c r="AF373" s="76"/>
      <c r="AG373" s="84"/>
      <c r="AH373" s="76"/>
      <c r="AI373" s="76"/>
      <c r="AJ373" s="76"/>
      <c r="AK373" s="84"/>
      <c r="AL373" s="84"/>
      <c r="AM373" s="84"/>
      <c r="AN373" s="84"/>
      <c r="AO373" s="84"/>
    </row>
    <row r="374" spans="1:41" s="1" customFormat="1" ht="45" customHeight="1" x14ac:dyDescent="0.2">
      <c r="A374" s="75">
        <v>16</v>
      </c>
      <c r="B374" s="75"/>
      <c r="C374" s="76" t="s">
        <v>300</v>
      </c>
      <c r="D374" s="76" t="s">
        <v>1936</v>
      </c>
      <c r="E374" s="75" t="s">
        <v>1937</v>
      </c>
      <c r="F374" s="75" t="e">
        <f t="shared" si="63"/>
        <v>#VALUE!</v>
      </c>
      <c r="G374" s="77">
        <v>0.97</v>
      </c>
      <c r="H374" s="78" t="e">
        <f t="shared" si="64"/>
        <v>#VALUE!</v>
      </c>
      <c r="I374" s="78"/>
      <c r="J374" s="75"/>
      <c r="K374" s="79">
        <v>11037.59</v>
      </c>
      <c r="L374" s="79">
        <v>10761.65</v>
      </c>
      <c r="M374" s="76" t="s">
        <v>1938</v>
      </c>
      <c r="N374" s="75" t="s">
        <v>298</v>
      </c>
      <c r="O374" s="80" t="s">
        <v>1955</v>
      </c>
      <c r="P374" s="81">
        <v>41247</v>
      </c>
      <c r="Q374" s="80" t="s">
        <v>1951</v>
      </c>
      <c r="R374" s="76" t="s">
        <v>1938</v>
      </c>
      <c r="S374" s="81"/>
      <c r="T374" s="81">
        <v>38771</v>
      </c>
      <c r="U374" s="81">
        <v>40868</v>
      </c>
      <c r="V374" s="76"/>
      <c r="W374" s="76"/>
      <c r="X374" s="5" t="s">
        <v>1027</v>
      </c>
      <c r="Y374" s="5"/>
      <c r="Z374" s="76" t="s">
        <v>190</v>
      </c>
      <c r="AA374" s="82" t="s">
        <v>36</v>
      </c>
      <c r="AB374" s="83" t="s">
        <v>37</v>
      </c>
      <c r="AC374" s="84"/>
      <c r="AD374" s="76"/>
      <c r="AE374" s="76"/>
      <c r="AF374" s="76"/>
      <c r="AG374" s="84"/>
      <c r="AH374" s="76"/>
      <c r="AI374" s="76"/>
      <c r="AJ374" s="76"/>
      <c r="AK374" s="84"/>
      <c r="AL374" s="84"/>
      <c r="AM374" s="84"/>
      <c r="AN374" s="84"/>
      <c r="AO374" s="84"/>
    </row>
    <row r="375" spans="1:41" s="1" customFormat="1" ht="45" customHeight="1" x14ac:dyDescent="0.2">
      <c r="A375" s="75">
        <v>17</v>
      </c>
      <c r="B375" s="75"/>
      <c r="C375" s="76" t="s">
        <v>300</v>
      </c>
      <c r="D375" s="76" t="s">
        <v>1939</v>
      </c>
      <c r="E375" s="75" t="s">
        <v>1940</v>
      </c>
      <c r="F375" s="75" t="e">
        <f>DATEDIF(P375,Q375,"y") + DATEDIF(T375,U375,"y") + SUM(AD375) &amp; " años " &amp; DATEDIF(P375,Q375,"ym") + DATEDIF(T375,U375,"ym") + SUM(AE375) - SUM(AI375) &amp; " meses " &amp; DATEDIF(P375,Q375,"md") + DATEDIF(T375,U375,"md") - SUM(AJ375) &amp; " días"</f>
        <v>#VALUE!</v>
      </c>
      <c r="G375" s="85">
        <v>0.6</v>
      </c>
      <c r="H375" s="78" t="e">
        <f t="shared" si="64"/>
        <v>#VALUE!</v>
      </c>
      <c r="I375" s="78"/>
      <c r="J375" s="75"/>
      <c r="K375" s="79"/>
      <c r="L375" s="79">
        <v>10000</v>
      </c>
      <c r="M375" s="76"/>
      <c r="N375" s="75" t="s">
        <v>298</v>
      </c>
      <c r="O375" s="80" t="s">
        <v>1941</v>
      </c>
      <c r="P375" s="81">
        <v>38931</v>
      </c>
      <c r="Q375" s="80" t="s">
        <v>1959</v>
      </c>
      <c r="R375" s="81"/>
      <c r="S375" s="81"/>
      <c r="T375" s="81"/>
      <c r="U375" s="81"/>
      <c r="V375" s="76"/>
      <c r="W375" s="76"/>
      <c r="X375" s="5" t="s">
        <v>1027</v>
      </c>
      <c r="Y375" s="5"/>
      <c r="Z375" s="76" t="s">
        <v>1425</v>
      </c>
      <c r="AA375" s="82" t="s">
        <v>36</v>
      </c>
      <c r="AB375" s="83" t="s">
        <v>37</v>
      </c>
      <c r="AC375" s="84"/>
      <c r="AD375" s="76"/>
      <c r="AE375" s="76"/>
      <c r="AF375" s="76"/>
      <c r="AG375" s="84"/>
      <c r="AH375" s="76"/>
      <c r="AI375" s="76"/>
      <c r="AJ375" s="76"/>
      <c r="AK375" s="84"/>
      <c r="AL375" s="84"/>
      <c r="AM375" s="84"/>
      <c r="AN375" s="84"/>
      <c r="AO375" s="84"/>
    </row>
    <row r="376" spans="1:41" s="1" customFormat="1" ht="45" customHeight="1" x14ac:dyDescent="0.2">
      <c r="A376" s="75">
        <v>18</v>
      </c>
      <c r="B376" s="75"/>
      <c r="C376" s="76" t="s">
        <v>300</v>
      </c>
      <c r="D376" s="76" t="s">
        <v>1942</v>
      </c>
      <c r="E376" s="75" t="s">
        <v>1943</v>
      </c>
      <c r="F376" s="75" t="e">
        <f>DATEDIF(P376,Q376,"y") + DATEDIF(T376,U376,"y") + SUM(AD376) &amp; " años " &amp; DATEDIF(P376,Q376,"ym") + DATEDIF(T376,U376,"ym") + SUM(AE376) - SUM(AI376) &amp; " meses " &amp; DATEDIF(P376,Q376,"md") + DATEDIF(T376,U376,"md") - SUM(AJ376) &amp; " días"</f>
        <v>#VALUE!</v>
      </c>
      <c r="G376" s="85">
        <v>0.8</v>
      </c>
      <c r="H376" s="78" t="e">
        <f t="shared" si="64"/>
        <v>#VALUE!</v>
      </c>
      <c r="I376" s="78"/>
      <c r="J376" s="75"/>
      <c r="K376" s="79"/>
      <c r="L376" s="79">
        <v>10000</v>
      </c>
      <c r="M376" s="76" t="s">
        <v>1944</v>
      </c>
      <c r="N376" s="75" t="s">
        <v>33</v>
      </c>
      <c r="O376" s="80" t="s">
        <v>1945</v>
      </c>
      <c r="P376" s="81">
        <v>37798</v>
      </c>
      <c r="Q376" s="80" t="s">
        <v>1951</v>
      </c>
      <c r="R376" s="130" t="s">
        <v>1944</v>
      </c>
      <c r="S376" s="81"/>
      <c r="T376" s="81">
        <v>35291</v>
      </c>
      <c r="U376" s="81">
        <v>37798</v>
      </c>
      <c r="V376" s="76"/>
      <c r="W376" s="76"/>
      <c r="X376" s="5"/>
      <c r="Y376" s="5"/>
      <c r="Z376" s="76" t="s">
        <v>48</v>
      </c>
      <c r="AA376" s="82" t="s">
        <v>36</v>
      </c>
      <c r="AB376" s="83" t="s">
        <v>37</v>
      </c>
      <c r="AC376" s="84"/>
      <c r="AD376" s="76">
        <v>1</v>
      </c>
      <c r="AE376" s="76"/>
      <c r="AF376" s="76"/>
      <c r="AG376" s="84"/>
      <c r="AH376" s="76"/>
      <c r="AI376" s="76">
        <v>12</v>
      </c>
      <c r="AJ376" s="76"/>
      <c r="AK376" s="84"/>
      <c r="AL376" s="84"/>
      <c r="AM376" s="84"/>
      <c r="AN376" s="84"/>
      <c r="AO376" s="84"/>
    </row>
    <row r="377" spans="1:41" s="1" customFormat="1" ht="61.5" customHeight="1" x14ac:dyDescent="0.2">
      <c r="A377" s="75">
        <v>19</v>
      </c>
      <c r="B377" s="75"/>
      <c r="C377" s="76" t="s">
        <v>300</v>
      </c>
      <c r="D377" s="76" t="s">
        <v>1946</v>
      </c>
      <c r="E377" s="75" t="s">
        <v>1947</v>
      </c>
      <c r="F377" s="75" t="e">
        <f t="shared" si="63"/>
        <v>#VALUE!</v>
      </c>
      <c r="G377" s="77">
        <v>1</v>
      </c>
      <c r="H377" s="78" t="e">
        <f t="shared" si="64"/>
        <v>#VALUE!</v>
      </c>
      <c r="I377" s="78"/>
      <c r="J377" s="75"/>
      <c r="K377" s="79">
        <v>6546.14</v>
      </c>
      <c r="L377" s="79">
        <v>10000</v>
      </c>
      <c r="M377" s="76" t="s">
        <v>1948</v>
      </c>
      <c r="N377" s="75" t="s">
        <v>33</v>
      </c>
      <c r="O377" s="80" t="s">
        <v>1949</v>
      </c>
      <c r="P377" s="81">
        <v>33890</v>
      </c>
      <c r="Q377" s="80" t="s">
        <v>1951</v>
      </c>
      <c r="R377" s="130" t="s">
        <v>1948</v>
      </c>
      <c r="S377" s="81"/>
      <c r="T377" s="81"/>
      <c r="U377" s="81"/>
      <c r="V377" s="76"/>
      <c r="W377" s="76"/>
      <c r="X377" s="5" t="s">
        <v>1027</v>
      </c>
      <c r="Y377" s="5"/>
      <c r="Z377" s="76" t="s">
        <v>190</v>
      </c>
      <c r="AA377" s="82" t="s">
        <v>36</v>
      </c>
      <c r="AB377" s="83" t="s">
        <v>37</v>
      </c>
      <c r="AC377" s="84"/>
      <c r="AD377" s="76"/>
      <c r="AE377" s="76"/>
      <c r="AF377" s="76"/>
      <c r="AG377" s="84"/>
      <c r="AH377" s="76"/>
      <c r="AI377" s="76"/>
      <c r="AJ377" s="76"/>
      <c r="AK377" s="84"/>
      <c r="AL377" s="84"/>
      <c r="AM377" s="84"/>
      <c r="AN377" s="84"/>
      <c r="AO377" s="84"/>
    </row>
    <row r="378" spans="1:41" hidden="1" x14ac:dyDescent="0.25"/>
    <row r="379" spans="1:41" s="91" customFormat="1" hidden="1" x14ac:dyDescent="0.25">
      <c r="A379" s="191" t="s">
        <v>1956</v>
      </c>
      <c r="B379" s="191"/>
      <c r="C379" s="191"/>
      <c r="D379" s="191"/>
      <c r="E379" s="191"/>
      <c r="F379" s="191"/>
      <c r="G379" s="191"/>
      <c r="H379" s="191"/>
      <c r="I379" s="191"/>
      <c r="J379" s="191"/>
      <c r="K379" s="191"/>
      <c r="L379" s="191"/>
      <c r="M379" s="191"/>
      <c r="N379" s="191"/>
      <c r="O379" s="191"/>
      <c r="P379" s="191"/>
      <c r="Q379" s="191"/>
      <c r="R379" s="191"/>
      <c r="S379" s="90"/>
      <c r="T379" s="90"/>
      <c r="Z379" s="52"/>
      <c r="AA379" s="52"/>
      <c r="AB379" s="52"/>
      <c r="AD379" s="92"/>
      <c r="AG379" s="93"/>
      <c r="AH379" s="181" t="s">
        <v>2</v>
      </c>
      <c r="AI379" s="181"/>
      <c r="AJ379" s="181"/>
      <c r="AL379" s="181" t="s">
        <v>3</v>
      </c>
      <c r="AM379" s="181"/>
      <c r="AN379" s="181"/>
    </row>
    <row r="380" spans="1:41" s="104" customFormat="1" ht="30" hidden="1" customHeight="1" x14ac:dyDescent="0.25">
      <c r="A380" s="94" t="s">
        <v>4</v>
      </c>
      <c r="B380" s="94" t="s">
        <v>5</v>
      </c>
      <c r="C380" s="95" t="s">
        <v>6</v>
      </c>
      <c r="D380" s="95" t="s">
        <v>7</v>
      </c>
      <c r="E380" s="94" t="s">
        <v>8</v>
      </c>
      <c r="F380" s="96" t="s">
        <v>9</v>
      </c>
      <c r="G380" s="96" t="s">
        <v>10</v>
      </c>
      <c r="H380" s="95" t="s">
        <v>11</v>
      </c>
      <c r="I380" s="97" t="s">
        <v>12</v>
      </c>
      <c r="J380" s="182" t="s">
        <v>13</v>
      </c>
      <c r="K380" s="183"/>
      <c r="L380" s="98" t="s">
        <v>14</v>
      </c>
      <c r="M380" s="99" t="s">
        <v>15</v>
      </c>
      <c r="N380" s="99" t="s">
        <v>16</v>
      </c>
      <c r="O380" s="99" t="s">
        <v>17</v>
      </c>
      <c r="P380" s="99" t="s">
        <v>18</v>
      </c>
      <c r="Q380" s="99" t="s">
        <v>335</v>
      </c>
      <c r="R380" s="99" t="s">
        <v>1950</v>
      </c>
      <c r="S380" s="100" t="s">
        <v>19</v>
      </c>
      <c r="T380" s="100" t="s">
        <v>20</v>
      </c>
      <c r="U380" s="101" t="s">
        <v>21</v>
      </c>
      <c r="V380" s="95" t="s">
        <v>13</v>
      </c>
      <c r="W380" s="100" t="s">
        <v>19</v>
      </c>
      <c r="X380" s="100" t="s">
        <v>20</v>
      </c>
      <c r="Y380" s="100" t="s">
        <v>19</v>
      </c>
      <c r="Z380" s="100" t="s">
        <v>20</v>
      </c>
      <c r="AA380" s="52"/>
      <c r="AB380" s="52"/>
      <c r="AC380" s="102"/>
      <c r="AD380" s="100" t="s">
        <v>22</v>
      </c>
      <c r="AE380" s="100" t="s">
        <v>23</v>
      </c>
      <c r="AF380" s="100" t="s">
        <v>24</v>
      </c>
      <c r="AG380" s="93"/>
      <c r="AH380" s="103" t="s">
        <v>25</v>
      </c>
      <c r="AI380" s="103" t="s">
        <v>26</v>
      </c>
      <c r="AJ380" s="103" t="s">
        <v>27</v>
      </c>
      <c r="AK380" s="93"/>
      <c r="AL380" s="103" t="s">
        <v>25</v>
      </c>
      <c r="AM380" s="103" t="s">
        <v>26</v>
      </c>
      <c r="AN380" s="103" t="s">
        <v>28</v>
      </c>
    </row>
    <row r="381" spans="1:41" s="93" customFormat="1" ht="8.25" hidden="1" customHeight="1" x14ac:dyDescent="0.25">
      <c r="A381" s="110"/>
      <c r="B381" s="110"/>
      <c r="C381" s="131"/>
      <c r="D381" s="131"/>
      <c r="E381" s="132"/>
      <c r="F381" s="110"/>
      <c r="G381" s="133"/>
      <c r="H381" s="110"/>
      <c r="I381" s="110"/>
      <c r="J381" s="190"/>
      <c r="K381" s="190"/>
      <c r="L381" s="110"/>
      <c r="M381" s="115"/>
      <c r="N381" s="115"/>
      <c r="O381" s="134"/>
      <c r="P381" s="115"/>
      <c r="Q381" s="115"/>
      <c r="R381" s="115"/>
      <c r="S381" s="116"/>
      <c r="T381" s="116"/>
      <c r="U381" s="116"/>
      <c r="V381" s="116"/>
      <c r="W381" s="116"/>
      <c r="X381" s="116"/>
      <c r="Y381" s="116"/>
      <c r="Z381" s="116"/>
      <c r="AA381" s="52"/>
      <c r="AB381" s="52"/>
      <c r="AC381" s="117"/>
      <c r="AD381" s="118"/>
      <c r="AE381" s="119"/>
      <c r="AF381" s="135"/>
      <c r="AH381" s="118"/>
      <c r="AI381" s="118"/>
      <c r="AJ381" s="118"/>
      <c r="AL381" s="118"/>
      <c r="AM381" s="118"/>
      <c r="AN381" s="118"/>
    </row>
    <row r="382" spans="1:41" s="5" customFormat="1" ht="12.75" x14ac:dyDescent="0.2">
      <c r="A382" s="33"/>
      <c r="B382" s="34"/>
      <c r="C382" s="35"/>
      <c r="D382" s="36"/>
      <c r="E382" s="36"/>
      <c r="F382" s="37"/>
      <c r="G382" s="38"/>
      <c r="H382" s="38"/>
      <c r="I382" s="39"/>
      <c r="J382" s="40"/>
      <c r="K382" s="4"/>
      <c r="L382" s="4"/>
      <c r="M382" s="4"/>
      <c r="N382" s="4"/>
    </row>
    <row r="383" spans="1:41" s="5" customFormat="1" ht="12.75" x14ac:dyDescent="0.2">
      <c r="A383" s="33"/>
      <c r="B383" s="34"/>
      <c r="C383" s="35"/>
      <c r="D383" s="36"/>
      <c r="E383" s="36"/>
      <c r="F383" s="37"/>
      <c r="G383" s="38"/>
      <c r="H383" s="38"/>
      <c r="I383" s="39"/>
      <c r="J383" s="40"/>
      <c r="K383" s="4"/>
      <c r="L383" s="4"/>
      <c r="M383" s="4"/>
      <c r="N383" s="4"/>
      <c r="V383" s="1"/>
    </row>
    <row r="384" spans="1:41" s="5" customFormat="1" ht="12.75" x14ac:dyDescent="0.2">
      <c r="A384" s="33"/>
      <c r="B384" s="34"/>
      <c r="C384" s="35"/>
      <c r="D384" s="36"/>
      <c r="E384" s="36"/>
      <c r="F384" s="37"/>
      <c r="G384" s="38"/>
      <c r="H384" s="38"/>
      <c r="I384" s="39"/>
      <c r="J384" s="40"/>
      <c r="K384" s="4"/>
      <c r="L384" s="4"/>
      <c r="M384" s="4"/>
      <c r="N384" s="4"/>
      <c r="W384" s="41"/>
    </row>
    <row r="385" spans="1:17" s="5" customFormat="1" ht="12.75" x14ac:dyDescent="0.2">
      <c r="A385" s="33"/>
      <c r="B385" s="34"/>
      <c r="C385" s="35"/>
      <c r="D385" s="36"/>
      <c r="E385" s="36"/>
      <c r="F385" s="37"/>
      <c r="G385" s="38"/>
      <c r="H385" s="38"/>
      <c r="I385" s="39"/>
      <c r="J385" s="40"/>
      <c r="K385" s="4"/>
      <c r="L385" s="4"/>
      <c r="M385" s="4"/>
      <c r="N385" s="4"/>
    </row>
    <row r="386" spans="1:17" s="5" customFormat="1" ht="12.75" x14ac:dyDescent="0.2">
      <c r="A386" s="33"/>
      <c r="B386" s="34"/>
      <c r="C386" s="35"/>
      <c r="D386" s="36"/>
      <c r="E386" s="36"/>
      <c r="F386" s="37"/>
      <c r="G386" s="38"/>
      <c r="H386" s="38"/>
      <c r="I386" s="39"/>
      <c r="J386" s="40"/>
      <c r="K386" s="4"/>
      <c r="L386" s="4"/>
      <c r="M386" s="4"/>
      <c r="N386" s="4"/>
    </row>
    <row r="387" spans="1:17" s="5" customFormat="1" ht="12.75" x14ac:dyDescent="0.2">
      <c r="A387" s="174" t="s">
        <v>330</v>
      </c>
      <c r="B387" s="174"/>
      <c r="C387" s="174"/>
      <c r="D387" s="174"/>
      <c r="E387" s="174"/>
      <c r="F387" s="174"/>
      <c r="G387" s="174"/>
      <c r="H387" s="174"/>
      <c r="I387" s="174"/>
      <c r="J387" s="174"/>
      <c r="K387" s="174"/>
      <c r="L387" s="174"/>
      <c r="M387" s="174"/>
      <c r="N387" s="174"/>
      <c r="O387" s="174"/>
      <c r="P387" s="174"/>
      <c r="Q387" s="174"/>
    </row>
    <row r="388" spans="1:17" s="5" customFormat="1" ht="12.75" x14ac:dyDescent="0.2">
      <c r="A388" s="175" t="s">
        <v>331</v>
      </c>
      <c r="B388" s="175"/>
      <c r="C388" s="175"/>
      <c r="D388" s="175"/>
      <c r="E388" s="175"/>
      <c r="F388" s="175"/>
      <c r="G388" s="175"/>
      <c r="H388" s="175"/>
      <c r="I388" s="175"/>
      <c r="J388" s="175"/>
      <c r="K388" s="175"/>
      <c r="L388" s="175"/>
      <c r="M388" s="175"/>
      <c r="N388" s="175"/>
      <c r="O388" s="175"/>
      <c r="P388" s="175"/>
      <c r="Q388" s="175"/>
    </row>
    <row r="389" spans="1:17" s="5" customFormat="1" ht="12.75" x14ac:dyDescent="0.2">
      <c r="A389" s="175" t="s">
        <v>332</v>
      </c>
      <c r="B389" s="175"/>
      <c r="C389" s="175"/>
      <c r="D389" s="175"/>
      <c r="E389" s="175"/>
      <c r="F389" s="175"/>
      <c r="G389" s="175"/>
      <c r="H389" s="175"/>
      <c r="I389" s="175"/>
      <c r="J389" s="175"/>
      <c r="K389" s="175"/>
      <c r="L389" s="175"/>
      <c r="M389" s="175"/>
      <c r="N389" s="175"/>
      <c r="O389" s="175"/>
      <c r="P389" s="175"/>
      <c r="Q389" s="175"/>
    </row>
    <row r="390" spans="1:17" s="5" customFormat="1" ht="12.75" x14ac:dyDescent="0.2">
      <c r="A390" s="42"/>
      <c r="B390" s="42"/>
      <c r="C390" s="42"/>
      <c r="D390" s="42"/>
      <c r="E390" s="42"/>
      <c r="F390" s="42"/>
      <c r="G390" s="43"/>
      <c r="H390" s="43"/>
      <c r="I390" s="44"/>
    </row>
    <row r="391" spans="1:17" ht="12.75" customHeight="1" x14ac:dyDescent="0.25">
      <c r="A391" s="45" t="s">
        <v>333</v>
      </c>
      <c r="B391" s="46"/>
      <c r="C391" s="46"/>
      <c r="D391" s="47"/>
      <c r="E391" s="48"/>
      <c r="F391" s="49"/>
      <c r="G391" s="50"/>
      <c r="H391" s="50"/>
      <c r="I391" s="51"/>
    </row>
    <row r="392" spans="1:17" ht="9.75" customHeight="1" x14ac:dyDescent="0.25">
      <c r="A392" s="53" t="s">
        <v>334</v>
      </c>
      <c r="B392" s="46"/>
      <c r="C392" s="46"/>
      <c r="D392" s="47"/>
      <c r="E392" s="48"/>
      <c r="F392" s="49"/>
      <c r="G392" s="50"/>
      <c r="H392" s="50"/>
      <c r="I392" s="51"/>
    </row>
    <row r="393" spans="1:17" ht="90" customHeight="1" x14ac:dyDescent="0.25"/>
    <row r="394" spans="1:17" ht="90" customHeight="1" x14ac:dyDescent="0.25"/>
    <row r="398" spans="1:17" ht="90" customHeight="1" x14ac:dyDescent="0.25"/>
    <row r="399" spans="1:17" ht="90" customHeight="1" x14ac:dyDescent="0.25"/>
    <row r="400" spans="1:17" ht="90" customHeight="1" x14ac:dyDescent="0.25"/>
    <row r="401" ht="90" customHeight="1" x14ac:dyDescent="0.25"/>
    <row r="402" ht="90" customHeight="1" x14ac:dyDescent="0.25"/>
    <row r="404" ht="90" customHeight="1" x14ac:dyDescent="0.25"/>
    <row r="405" ht="90" customHeight="1" x14ac:dyDescent="0.25"/>
    <row r="406" ht="90" customHeight="1" x14ac:dyDescent="0.25"/>
    <row r="407" ht="90" customHeight="1" x14ac:dyDescent="0.25"/>
    <row r="409" ht="90" customHeight="1" x14ac:dyDescent="0.25"/>
    <row r="410" ht="90" customHeight="1" x14ac:dyDescent="0.25"/>
    <row r="412" ht="146.25" customHeight="1" x14ac:dyDescent="0.25"/>
    <row r="413" ht="165" customHeight="1" x14ac:dyDescent="0.25"/>
    <row r="414" ht="90" customHeight="1" x14ac:dyDescent="0.25"/>
    <row r="415" ht="90" customHeight="1" x14ac:dyDescent="0.25"/>
    <row r="416" ht="90" customHeight="1" x14ac:dyDescent="0.25"/>
    <row r="418" ht="90" customHeight="1" x14ac:dyDescent="0.25"/>
    <row r="419" ht="90" customHeight="1" x14ac:dyDescent="0.25"/>
    <row r="421" ht="90" customHeight="1" x14ac:dyDescent="0.25"/>
  </sheetData>
  <mergeCells count="37">
    <mergeCell ref="A387:Q387"/>
    <mergeCell ref="A388:Q388"/>
    <mergeCell ref="A389:Q389"/>
    <mergeCell ref="A9:Q9"/>
    <mergeCell ref="A10:Q10"/>
    <mergeCell ref="A11:Q11"/>
    <mergeCell ref="A12:Q12"/>
    <mergeCell ref="A13:Q13"/>
    <mergeCell ref="J358:K358"/>
    <mergeCell ref="A379:R379"/>
    <mergeCell ref="A166:G166"/>
    <mergeCell ref="I166:L166"/>
    <mergeCell ref="A15:J15"/>
    <mergeCell ref="AH379:AJ379"/>
    <mergeCell ref="AL379:AN379"/>
    <mergeCell ref="J380:K380"/>
    <mergeCell ref="J381:K381"/>
    <mergeCell ref="AH240:AJ240"/>
    <mergeCell ref="AL240:AN240"/>
    <mergeCell ref="J241:K241"/>
    <mergeCell ref="AH357:AJ357"/>
    <mergeCell ref="AL357:AN357"/>
    <mergeCell ref="A357:J357"/>
    <mergeCell ref="A240:J240"/>
    <mergeCell ref="AH17:AJ17"/>
    <mergeCell ref="AL17:AN17"/>
    <mergeCell ref="AH168:AJ168"/>
    <mergeCell ref="AL168:AN168"/>
    <mergeCell ref="J169:K169"/>
    <mergeCell ref="J18:K18"/>
    <mergeCell ref="A163:N163"/>
    <mergeCell ref="AH163:AJ163"/>
    <mergeCell ref="AL163:AN163"/>
    <mergeCell ref="J164:K164"/>
    <mergeCell ref="J165:K165"/>
    <mergeCell ref="A168:J168"/>
    <mergeCell ref="A17:J17"/>
  </mergeCells>
  <conditionalFormatting sqref="E1:E8 E14">
    <cfRule type="duplicateValues" dxfId="6" priority="367"/>
  </conditionalFormatting>
  <conditionalFormatting sqref="E2:E8 E14">
    <cfRule type="duplicateValues" dxfId="5" priority="365"/>
  </conditionalFormatting>
  <conditionalFormatting sqref="E165">
    <cfRule type="expression" dxfId="4" priority="369" stopIfTrue="1">
      <formula>AND(COUNTIF($E$162:$E$1010, E165)+COUNTIF($E$1038:$E$65769, E165)&gt;1,NOT(ISBLANK(E165)))</formula>
    </cfRule>
  </conditionalFormatting>
  <conditionalFormatting sqref="E381">
    <cfRule type="expression" dxfId="3" priority="368" stopIfTrue="1">
      <formula>AND(COUNTIF($E$162:$E$1016, E381)+COUNTIF($E$1044:$E$65775, E381)&gt;1,NOT(ISBLANK(E381)))</formula>
    </cfRule>
  </conditionalFormatting>
  <conditionalFormatting sqref="E382:E386 E390:E392">
    <cfRule type="duplicateValues" dxfId="2" priority="1"/>
  </conditionalFormatting>
  <printOptions horizontalCentered="1"/>
  <pageMargins left="0.23622047244094491" right="0.23622047244094491" top="0.43307086614173229" bottom="0.43307086614173229" header="0.31496062992125984" footer="0.31496062992125984"/>
  <pageSetup firstPageNumber="3" fitToHeight="0" orientation="portrait" r:id="rId1"/>
  <headerFooter>
    <oddFooter>&amp;RPágina &amp;P de 23</oddFooter>
  </headerFooter>
  <rowBreaks count="2" manualBreakCount="2">
    <brk id="27" max="17" man="1"/>
    <brk id="356" max="1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230"/>
  <sheetViews>
    <sheetView view="pageBreakPreview" topLeftCell="A178" zoomScale="65" zoomScaleNormal="90" zoomScaleSheetLayoutView="65" zoomScalePageLayoutView="60" workbookViewId="0">
      <selection activeCell="A182" sqref="A182:XFD186"/>
    </sheetView>
  </sheetViews>
  <sheetFormatPr baseColWidth="10" defaultRowHeight="15" x14ac:dyDescent="0.25"/>
  <cols>
    <col min="1" max="1" width="7.140625" style="52" customWidth="1"/>
    <col min="2" max="2" width="1.7109375" style="52" hidden="1" customWidth="1"/>
    <col min="3" max="3" width="25.140625" style="52" customWidth="1"/>
    <col min="4" max="4" width="42.85546875" style="52" customWidth="1"/>
    <col min="5" max="5" width="14.85546875" style="52" hidden="1" customWidth="1"/>
    <col min="6" max="6" width="16.28515625" style="52" hidden="1" customWidth="1"/>
    <col min="7" max="7" width="7.7109375" style="52" hidden="1" customWidth="1"/>
    <col min="8" max="8" width="12.5703125" style="52" hidden="1" customWidth="1"/>
    <col min="9" max="9" width="14.28515625" style="52" hidden="1" customWidth="1"/>
    <col min="10" max="10" width="20.7109375" style="52" customWidth="1"/>
    <col min="11" max="11" width="16.28515625" style="52" hidden="1" customWidth="1"/>
    <col min="12" max="12" width="15.140625" style="52" hidden="1" customWidth="1"/>
    <col min="13" max="13" width="21" style="52" hidden="1" customWidth="1"/>
    <col min="14" max="14" width="25.5703125" style="52" hidden="1" customWidth="1"/>
    <col min="15" max="15" width="18.85546875" style="52" hidden="1" customWidth="1"/>
    <col min="16" max="16" width="23.85546875" style="52" hidden="1" customWidth="1"/>
    <col min="17" max="17" width="26.140625" style="52" customWidth="1"/>
    <col min="18" max="18" width="36.28515625" style="52" hidden="1" customWidth="1"/>
    <col min="19" max="20" width="11.42578125" style="52" hidden="1" customWidth="1"/>
    <col min="21" max="21" width="18.5703125" style="52" hidden="1" customWidth="1"/>
    <col min="22" max="22" width="21.42578125" style="52" hidden="1" customWidth="1"/>
    <col min="23" max="26" width="11.42578125" style="52" hidden="1" customWidth="1"/>
    <col min="27" max="27" width="5.28515625" style="52" hidden="1" customWidth="1"/>
    <col min="28" max="28" width="6.140625" style="52" hidden="1" customWidth="1"/>
    <col min="29" max="29" width="4.28515625" style="52" hidden="1" customWidth="1"/>
    <col min="30" max="41" width="11.42578125" style="52" hidden="1" customWidth="1"/>
    <col min="42" max="48" width="11.42578125" style="52" customWidth="1"/>
    <col min="49" max="49" width="11.42578125" style="52"/>
    <col min="50" max="50" width="13" style="52" bestFit="1" customWidth="1"/>
    <col min="51" max="16384" width="11.42578125" style="52"/>
  </cols>
  <sheetData>
    <row r="1" spans="1:17" s="1" customFormat="1" ht="12.75" x14ac:dyDescent="0.2"/>
    <row r="2" spans="1:17" s="1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s="1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7" s="1" customFormat="1" ht="12.75" x14ac:dyDescent="0.2"/>
    <row r="5" spans="1:17" s="1" customFormat="1" ht="12.75" x14ac:dyDescent="0.2"/>
    <row r="6" spans="1:17" s="1" customFormat="1" ht="12.75" x14ac:dyDescent="0.2"/>
    <row r="7" spans="1:17" s="1" customFormat="1" ht="12.75" x14ac:dyDescent="0.2"/>
    <row r="8" spans="1:17" s="1" customFormat="1" ht="12.75" x14ac:dyDescent="0.2"/>
    <row r="9" spans="1:17" s="74" customFormat="1" ht="15.75" x14ac:dyDescent="0.25">
      <c r="A9" s="178" t="s">
        <v>883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</row>
    <row r="10" spans="1:17" s="74" customFormat="1" ht="15.75" x14ac:dyDescent="0.25">
      <c r="A10" s="178" t="s">
        <v>884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</row>
    <row r="11" spans="1:17" s="74" customFormat="1" ht="15.75" x14ac:dyDescent="0.25">
      <c r="A11" s="178" t="s">
        <v>885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</row>
    <row r="12" spans="1:17" s="74" customFormat="1" ht="15.75" x14ac:dyDescent="0.25">
      <c r="A12" s="178" t="s">
        <v>886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</row>
    <row r="13" spans="1:17" s="74" customFormat="1" ht="15.75" x14ac:dyDescent="0.25">
      <c r="A13" s="178" t="s">
        <v>887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</row>
    <row r="14" spans="1:17" s="1" customFormat="1" ht="13.5" thickBot="1" x14ac:dyDescent="0.25"/>
    <row r="15" spans="1:17" s="5" customFormat="1" ht="68.25" customHeight="1" thickBot="1" x14ac:dyDescent="0.25">
      <c r="A15" s="169" t="s">
        <v>2281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1"/>
    </row>
    <row r="17" spans="1:46" s="91" customFormat="1" x14ac:dyDescent="0.25">
      <c r="A17" s="191" t="s">
        <v>1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38"/>
      <c r="S17" s="90"/>
      <c r="T17" s="90"/>
      <c r="Z17" s="52"/>
      <c r="AA17" s="52"/>
      <c r="AB17" s="52"/>
      <c r="AD17" s="92"/>
      <c r="AG17" s="93"/>
      <c r="AH17" s="181" t="s">
        <v>2</v>
      </c>
      <c r="AI17" s="181"/>
      <c r="AJ17" s="181"/>
      <c r="AL17" s="181" t="s">
        <v>3</v>
      </c>
      <c r="AM17" s="181"/>
      <c r="AN17" s="181"/>
    </row>
    <row r="18" spans="1:46" s="104" customFormat="1" ht="30" customHeight="1" x14ac:dyDescent="0.25">
      <c r="A18" s="94" t="s">
        <v>4</v>
      </c>
      <c r="B18" s="94" t="s">
        <v>5</v>
      </c>
      <c r="C18" s="95" t="s">
        <v>6</v>
      </c>
      <c r="D18" s="95" t="s">
        <v>7</v>
      </c>
      <c r="E18" s="94" t="s">
        <v>8</v>
      </c>
      <c r="F18" s="96" t="s">
        <v>9</v>
      </c>
      <c r="G18" s="96" t="s">
        <v>10</v>
      </c>
      <c r="H18" s="95" t="s">
        <v>11</v>
      </c>
      <c r="I18" s="97" t="s">
        <v>12</v>
      </c>
      <c r="J18" s="182" t="s">
        <v>13</v>
      </c>
      <c r="K18" s="183"/>
      <c r="L18" s="98" t="s">
        <v>14</v>
      </c>
      <c r="M18" s="99" t="s">
        <v>15</v>
      </c>
      <c r="N18" s="99" t="s">
        <v>17</v>
      </c>
      <c r="O18" s="99" t="s">
        <v>18</v>
      </c>
      <c r="P18" s="99" t="s">
        <v>18</v>
      </c>
      <c r="Q18" s="99" t="s">
        <v>335</v>
      </c>
      <c r="R18" s="99" t="s">
        <v>1950</v>
      </c>
      <c r="S18" s="100" t="s">
        <v>19</v>
      </c>
      <c r="T18" s="100" t="s">
        <v>20</v>
      </c>
      <c r="U18" s="101" t="s">
        <v>21</v>
      </c>
      <c r="V18" s="95" t="s">
        <v>13</v>
      </c>
      <c r="W18" s="100" t="s">
        <v>19</v>
      </c>
      <c r="X18" s="100" t="s">
        <v>20</v>
      </c>
      <c r="Y18" s="100" t="s">
        <v>19</v>
      </c>
      <c r="Z18" s="100" t="s">
        <v>20</v>
      </c>
      <c r="AA18" s="52"/>
      <c r="AB18" s="52"/>
      <c r="AC18" s="102"/>
      <c r="AD18" s="100" t="s">
        <v>22</v>
      </c>
      <c r="AE18" s="100" t="s">
        <v>23</v>
      </c>
      <c r="AF18" s="100" t="s">
        <v>24</v>
      </c>
      <c r="AG18" s="93"/>
      <c r="AH18" s="103" t="s">
        <v>25</v>
      </c>
      <c r="AI18" s="103" t="s">
        <v>26</v>
      </c>
      <c r="AJ18" s="103" t="s">
        <v>27</v>
      </c>
      <c r="AK18" s="93"/>
      <c r="AL18" s="103" t="s">
        <v>25</v>
      </c>
      <c r="AM18" s="103" t="s">
        <v>26</v>
      </c>
      <c r="AN18" s="103" t="s">
        <v>28</v>
      </c>
    </row>
    <row r="19" spans="1:46" s="93" customFormat="1" ht="39.950000000000003" customHeight="1" x14ac:dyDescent="0.25">
      <c r="A19" s="110">
        <v>1</v>
      </c>
      <c r="B19" s="139"/>
      <c r="C19" s="140" t="s">
        <v>39</v>
      </c>
      <c r="D19" s="140" t="s">
        <v>1963</v>
      </c>
      <c r="E19" s="141" t="s">
        <v>1964</v>
      </c>
      <c r="F19" s="142" t="str">
        <f>DATEDIF(R19,S19,"y") + DATEDIF(V19,W19,"y") + DATEDIF(X19,Y19,"y") + SUM(AH19) &amp; " años " &amp; DATEDIF(R19,S19,"ym") + DATEDIF(V19,W19,"ym") + DATEDIF(X19,Y19,"ym") + SUM(AI19) - SUM(AM19) &amp; " meses " &amp; DATEDIF(R19,S19,"md") + DATEDIF(V19,W19,"md") + DATEDIF(X19,Y19,"md") - SUM(AN19) &amp; " días"</f>
        <v>27 años 7 meses 0 días</v>
      </c>
      <c r="G19" s="143">
        <v>0.8</v>
      </c>
      <c r="H19" s="110" t="str">
        <f>DATEDIF(T19,S19,"y") &amp; " años " &amp; DATEDIF(T19,S19,"ym") &amp; " meses " &amp; DATEDIF(T19,S19,"md") &amp; " días"</f>
        <v>44 años 1 meses 7 días</v>
      </c>
      <c r="I19" s="110" t="str">
        <f>DATEDIF(U19,S19,"y") &amp; " años " &amp; DATEDIF(U19,S19,"ym") &amp; " meses " &amp; DATEDIF(U19,S19,"md") &amp; " días"</f>
        <v>4 años 1 meses 5 días</v>
      </c>
      <c r="J19" s="195"/>
      <c r="K19" s="196"/>
      <c r="L19" s="197"/>
      <c r="M19" s="144">
        <v>39234.82</v>
      </c>
      <c r="N19" s="115">
        <f>M19*G19</f>
        <v>31387.856</v>
      </c>
      <c r="O19" s="134"/>
      <c r="P19" s="134" t="s">
        <v>42</v>
      </c>
      <c r="Q19" s="115" t="s">
        <v>336</v>
      </c>
      <c r="R19" s="145">
        <v>35309</v>
      </c>
      <c r="S19" s="146">
        <v>45383</v>
      </c>
      <c r="T19" s="145">
        <v>29276</v>
      </c>
      <c r="U19" s="145">
        <v>43888</v>
      </c>
      <c r="V19" s="116"/>
      <c r="W19" s="116"/>
      <c r="X19" s="116"/>
      <c r="Y19" s="116"/>
      <c r="Z19" s="52"/>
      <c r="AA19" s="52"/>
      <c r="AB19" s="52"/>
      <c r="AC19" s="117"/>
      <c r="AD19" s="118" t="s">
        <v>48</v>
      </c>
      <c r="AE19" s="119" t="s">
        <v>36</v>
      </c>
      <c r="AF19" s="135" t="s">
        <v>37</v>
      </c>
      <c r="AH19" s="118"/>
      <c r="AI19" s="118"/>
      <c r="AJ19" s="118"/>
      <c r="AL19" s="118"/>
      <c r="AM19" s="118"/>
      <c r="AN19" s="118"/>
    </row>
    <row r="20" spans="1:46" s="93" customFormat="1" ht="39.950000000000003" customHeight="1" x14ac:dyDescent="0.25">
      <c r="A20" s="110">
        <v>2</v>
      </c>
      <c r="B20" s="139"/>
      <c r="C20" s="140" t="s">
        <v>39</v>
      </c>
      <c r="D20" s="140" t="s">
        <v>1965</v>
      </c>
      <c r="E20" s="141" t="s">
        <v>1966</v>
      </c>
      <c r="F20" s="142" t="str">
        <f t="shared" ref="F20:F23" si="0">DATEDIF(R20,S20,"y") + DATEDIF(V20,W20,"y") + DATEDIF(X20,Y20,"y") + SUM(AH20) &amp; " años " &amp; DATEDIF(R20,S20,"ym") + DATEDIF(V20,W20,"ym") + DATEDIF(X20,Y20,"ym") + SUM(AI20) - SUM(AM20) &amp; " meses " &amp; DATEDIF(R20,S20,"md") + DATEDIF(V20,W20,"md") + DATEDIF(X20,Y20,"md") - SUM(AN20) &amp; " días"</f>
        <v>38 años 0 meses 0 días</v>
      </c>
      <c r="G20" s="143">
        <v>1</v>
      </c>
      <c r="H20" s="110" t="str">
        <f t="shared" ref="H20:H23" si="1">DATEDIF(T20,S20,"y") &amp; " años " &amp; DATEDIF(T20,S20,"ym") &amp; " meses " &amp; DATEDIF(T20,S20,"md") &amp; " días"</f>
        <v>55 años 11 meses 19 días</v>
      </c>
      <c r="I20" s="110" t="str">
        <f t="shared" ref="I20:I23" si="2">DATEDIF(U20,S20,"y") &amp; " años " &amp; DATEDIF(U20,S20,"ym") &amp; " meses " &amp; DATEDIF(U20,S20,"md") &amp; " días"</f>
        <v>2 años 1 meses 5 días</v>
      </c>
      <c r="J20" s="195"/>
      <c r="K20" s="196"/>
      <c r="L20" s="197"/>
      <c r="M20" s="144">
        <v>39234.82</v>
      </c>
      <c r="N20" s="115">
        <f t="shared" ref="N20:N23" si="3">M20*G20</f>
        <v>39234.82</v>
      </c>
      <c r="O20" s="134"/>
      <c r="P20" s="134" t="s">
        <v>42</v>
      </c>
      <c r="Q20" s="115" t="s">
        <v>336</v>
      </c>
      <c r="R20" s="145">
        <v>31503</v>
      </c>
      <c r="S20" s="146">
        <v>45383</v>
      </c>
      <c r="T20" s="145">
        <v>24941</v>
      </c>
      <c r="U20" s="145">
        <v>44619</v>
      </c>
      <c r="V20" s="116"/>
      <c r="W20" s="116"/>
      <c r="X20" s="116"/>
      <c r="Y20" s="116"/>
      <c r="Z20" s="52"/>
      <c r="AA20" s="52"/>
      <c r="AB20" s="52"/>
      <c r="AC20" s="117"/>
      <c r="AD20" s="118" t="s">
        <v>48</v>
      </c>
      <c r="AE20" s="119" t="s">
        <v>36</v>
      </c>
      <c r="AF20" s="135" t="s">
        <v>37</v>
      </c>
      <c r="AH20" s="118"/>
      <c r="AI20" s="118"/>
      <c r="AJ20" s="118"/>
      <c r="AL20" s="118"/>
      <c r="AM20" s="118"/>
      <c r="AN20" s="118"/>
    </row>
    <row r="21" spans="1:46" s="93" customFormat="1" ht="39.950000000000003" customHeight="1" x14ac:dyDescent="0.25">
      <c r="A21" s="110">
        <v>3</v>
      </c>
      <c r="B21" s="139"/>
      <c r="C21" s="140" t="s">
        <v>39</v>
      </c>
      <c r="D21" s="140" t="s">
        <v>1967</v>
      </c>
      <c r="E21" s="141" t="s">
        <v>1968</v>
      </c>
      <c r="F21" s="142" t="str">
        <f t="shared" si="0"/>
        <v>35 años 11 meses 0 días</v>
      </c>
      <c r="G21" s="143">
        <v>1</v>
      </c>
      <c r="H21" s="110" t="str">
        <f t="shared" si="1"/>
        <v>54 años 11 meses 29 días</v>
      </c>
      <c r="I21" s="110" t="str">
        <f t="shared" si="2"/>
        <v>8 años 1 meses 0 días</v>
      </c>
      <c r="J21" s="195"/>
      <c r="K21" s="196"/>
      <c r="L21" s="197"/>
      <c r="M21" s="144">
        <v>42907.519999999997</v>
      </c>
      <c r="N21" s="115">
        <f t="shared" si="3"/>
        <v>42907.519999999997</v>
      </c>
      <c r="O21" s="134"/>
      <c r="P21" s="134" t="s">
        <v>42</v>
      </c>
      <c r="Q21" s="115" t="s">
        <v>336</v>
      </c>
      <c r="R21" s="145">
        <v>32264</v>
      </c>
      <c r="S21" s="146">
        <v>45383</v>
      </c>
      <c r="T21" s="145">
        <v>25296</v>
      </c>
      <c r="U21" s="145">
        <v>42430</v>
      </c>
      <c r="V21" s="116"/>
      <c r="W21" s="116"/>
      <c r="X21" s="116"/>
      <c r="Y21" s="116"/>
      <c r="Z21" s="52"/>
      <c r="AA21" s="52"/>
      <c r="AB21" s="52"/>
      <c r="AC21" s="117"/>
      <c r="AD21" s="118" t="s">
        <v>48</v>
      </c>
      <c r="AE21" s="119" t="s">
        <v>36</v>
      </c>
      <c r="AF21" s="135" t="s">
        <v>37</v>
      </c>
      <c r="AH21" s="118"/>
      <c r="AI21" s="118"/>
      <c r="AJ21" s="118"/>
      <c r="AL21" s="118"/>
      <c r="AM21" s="118"/>
      <c r="AN21" s="118"/>
    </row>
    <row r="22" spans="1:46" s="93" customFormat="1" ht="39.950000000000003" customHeight="1" x14ac:dyDescent="0.25">
      <c r="A22" s="110">
        <v>4</v>
      </c>
      <c r="B22" s="139"/>
      <c r="C22" s="140" t="s">
        <v>39</v>
      </c>
      <c r="D22" s="140" t="s">
        <v>1969</v>
      </c>
      <c r="E22" s="141" t="s">
        <v>1970</v>
      </c>
      <c r="F22" s="142" t="str">
        <f t="shared" si="0"/>
        <v>29 años 6 meses 26 días</v>
      </c>
      <c r="G22" s="143">
        <v>0.85</v>
      </c>
      <c r="H22" s="110" t="str">
        <f t="shared" si="1"/>
        <v>50 años 5 meses 23 días</v>
      </c>
      <c r="I22" s="110" t="str">
        <f t="shared" si="2"/>
        <v>14 años 1 meses 0 días</v>
      </c>
      <c r="J22" s="195" t="s">
        <v>13</v>
      </c>
      <c r="K22" s="196"/>
      <c r="L22" s="197"/>
      <c r="M22" s="144">
        <v>70000</v>
      </c>
      <c r="N22" s="115">
        <f t="shared" si="3"/>
        <v>59500</v>
      </c>
      <c r="O22" s="134"/>
      <c r="P22" s="134" t="s">
        <v>42</v>
      </c>
      <c r="Q22" s="115" t="s">
        <v>336</v>
      </c>
      <c r="R22" s="145">
        <v>34583</v>
      </c>
      <c r="S22" s="146">
        <v>45383</v>
      </c>
      <c r="T22" s="145">
        <v>26946</v>
      </c>
      <c r="U22" s="145">
        <v>40238</v>
      </c>
      <c r="V22" s="116"/>
      <c r="W22" s="116"/>
      <c r="X22" s="116"/>
      <c r="Y22" s="116"/>
      <c r="Z22" s="52"/>
      <c r="AA22" s="52"/>
      <c r="AB22" s="52"/>
      <c r="AC22" s="117"/>
      <c r="AD22" s="118" t="s">
        <v>129</v>
      </c>
      <c r="AE22" s="119" t="s">
        <v>36</v>
      </c>
      <c r="AF22" s="135" t="s">
        <v>37</v>
      </c>
      <c r="AH22" s="118"/>
      <c r="AI22" s="118"/>
      <c r="AJ22" s="118"/>
      <c r="AL22" s="118"/>
      <c r="AM22" s="118"/>
      <c r="AN22" s="118"/>
      <c r="AR22" s="195"/>
      <c r="AS22" s="196"/>
      <c r="AT22" s="197"/>
    </row>
    <row r="23" spans="1:46" s="93" customFormat="1" ht="39.950000000000003" customHeight="1" x14ac:dyDescent="0.25">
      <c r="A23" s="110">
        <v>5</v>
      </c>
      <c r="B23" s="139"/>
      <c r="C23" s="140" t="s">
        <v>39</v>
      </c>
      <c r="D23" s="140" t="s">
        <v>1971</v>
      </c>
      <c r="E23" s="141" t="s">
        <v>1972</v>
      </c>
      <c r="F23" s="142" t="str">
        <f t="shared" si="0"/>
        <v>26 años 1 meses 0 días</v>
      </c>
      <c r="G23" s="143">
        <v>0.75</v>
      </c>
      <c r="H23" s="110" t="str">
        <f t="shared" si="1"/>
        <v>56 años 5 meses 24 días</v>
      </c>
      <c r="I23" s="110" t="str">
        <f t="shared" si="2"/>
        <v>8 años 1 meses 0 días</v>
      </c>
      <c r="J23" s="195"/>
      <c r="K23" s="196"/>
      <c r="L23" s="197"/>
      <c r="M23" s="144">
        <v>70000</v>
      </c>
      <c r="N23" s="115">
        <f t="shared" si="3"/>
        <v>52500</v>
      </c>
      <c r="O23" s="134"/>
      <c r="P23" s="134" t="s">
        <v>42</v>
      </c>
      <c r="Q23" s="115" t="s">
        <v>336</v>
      </c>
      <c r="R23" s="145">
        <v>35855</v>
      </c>
      <c r="S23" s="146">
        <v>45383</v>
      </c>
      <c r="T23" s="145">
        <v>24753</v>
      </c>
      <c r="U23" s="145">
        <v>42430</v>
      </c>
      <c r="V23" s="116"/>
      <c r="W23" s="116"/>
      <c r="X23" s="116"/>
      <c r="Y23" s="116"/>
      <c r="Z23" s="52" t="s">
        <v>1973</v>
      </c>
      <c r="AA23" s="52"/>
      <c r="AB23" s="52"/>
      <c r="AC23" s="117"/>
      <c r="AD23" s="118" t="s">
        <v>35</v>
      </c>
      <c r="AE23" s="119" t="s">
        <v>36</v>
      </c>
      <c r="AF23" s="135" t="s">
        <v>37</v>
      </c>
      <c r="AH23" s="118"/>
      <c r="AI23" s="118"/>
      <c r="AJ23" s="118"/>
      <c r="AL23" s="118"/>
      <c r="AM23" s="118"/>
      <c r="AN23" s="118"/>
    </row>
    <row r="24" spans="1:46" s="93" customFormat="1" ht="39.950000000000003" customHeight="1" x14ac:dyDescent="0.25">
      <c r="A24" s="110">
        <v>6</v>
      </c>
      <c r="B24" s="139"/>
      <c r="C24" s="140" t="s">
        <v>49</v>
      </c>
      <c r="D24" s="140" t="s">
        <v>1974</v>
      </c>
      <c r="E24" s="141" t="s">
        <v>1975</v>
      </c>
      <c r="F24" s="142" t="str">
        <f>DATEDIF(R24,S24,"y") + DATEDIF(V24,W24,"y") + DATEDIF(X24,Y24,"y") + SUM(AH24) &amp; " años " &amp; DATEDIF(R24,S24,"ym") + DATEDIF(V24,W24,"ym") + DATEDIF(X24,Y24,"ym") + SUM(AI24) - SUM(AM24) &amp; " meses " &amp; DATEDIF(R24,S24,"md") + DATEDIF(V24,W24,"md") + DATEDIF(X24,Y24,"md") - SUM(AN24) &amp; " días"</f>
        <v>30 años 1 meses 18 días</v>
      </c>
      <c r="G24" s="143">
        <v>0.85</v>
      </c>
      <c r="H24" s="110" t="str">
        <f>DATEDIF(T24,S24,"y") &amp; " años " &amp; DATEDIF(T24,S24,"ym") &amp; " meses " &amp; DATEDIF(T24,S24,"md") &amp; " días"</f>
        <v>46 años 9 meses 3 días</v>
      </c>
      <c r="I24" s="110" t="str">
        <f>DATEDIF(U24,S24,"y") &amp; " años " &amp; DATEDIF(U24,S24,"ym") &amp; " meses " &amp; DATEDIF(U24,S24,"md") &amp; " días"</f>
        <v>6 años 1 meses 5 días</v>
      </c>
      <c r="J24" s="195"/>
      <c r="K24" s="196"/>
      <c r="L24" s="197"/>
      <c r="M24" s="144">
        <f>39234.81+14000</f>
        <v>53234.81</v>
      </c>
      <c r="N24" s="115">
        <f>M24*G24</f>
        <v>45249.588499999998</v>
      </c>
      <c r="O24" s="134"/>
      <c r="P24" s="134" t="s">
        <v>42</v>
      </c>
      <c r="Q24" s="115" t="s">
        <v>336</v>
      </c>
      <c r="R24" s="145">
        <v>34379</v>
      </c>
      <c r="S24" s="146">
        <v>45383</v>
      </c>
      <c r="T24" s="145">
        <v>28305</v>
      </c>
      <c r="U24" s="145">
        <v>43158</v>
      </c>
      <c r="V24" s="116"/>
      <c r="W24" s="116"/>
      <c r="X24" s="116"/>
      <c r="Y24" s="116"/>
      <c r="Z24" s="52"/>
      <c r="AA24" s="52"/>
      <c r="AB24" s="52"/>
      <c r="AC24" s="117"/>
      <c r="AD24" s="118" t="s">
        <v>35</v>
      </c>
      <c r="AE24" s="119" t="s">
        <v>36</v>
      </c>
      <c r="AF24" s="135" t="s">
        <v>37</v>
      </c>
      <c r="AH24" s="118"/>
      <c r="AI24" s="118"/>
      <c r="AJ24" s="118"/>
      <c r="AL24" s="118"/>
      <c r="AM24" s="118"/>
      <c r="AN24" s="118"/>
    </row>
    <row r="25" spans="1:46" s="93" customFormat="1" ht="39.950000000000003" customHeight="1" x14ac:dyDescent="0.25">
      <c r="A25" s="110">
        <v>7</v>
      </c>
      <c r="B25" s="139"/>
      <c r="C25" s="140" t="s">
        <v>49</v>
      </c>
      <c r="D25" s="140" t="s">
        <v>1976</v>
      </c>
      <c r="E25" s="141" t="s">
        <v>1977</v>
      </c>
      <c r="F25" s="142" t="str">
        <f t="shared" ref="F25:F27" si="4">DATEDIF(R25,S25,"y") + DATEDIF(V25,W25,"y") + DATEDIF(X25,Y25,"y") + SUM(AH25) &amp; " años " &amp; DATEDIF(R25,S25,"ym") + DATEDIF(V25,W25,"ym") + DATEDIF(X25,Y25,"ym") + SUM(AI25) - SUM(AM25) &amp; " meses " &amp; DATEDIF(R25,S25,"md") + DATEDIF(V25,W25,"md") + DATEDIF(X25,Y25,"md") - SUM(AN25) &amp; " días"</f>
        <v>29 años 8 meses 0 días</v>
      </c>
      <c r="G25" s="143">
        <v>0.85</v>
      </c>
      <c r="H25" s="110" t="str">
        <f t="shared" ref="H25:H32" si="5">DATEDIF(T25,S25,"y") &amp; " años " &amp; DATEDIF(T25,S25,"ym") &amp; " meses " &amp; DATEDIF(T25,S25,"md") &amp; " días"</f>
        <v>47 años 9 meses 0 días</v>
      </c>
      <c r="I25" s="110" t="str">
        <f t="shared" ref="I25:I32" si="6">DATEDIF(U25,S25,"y") &amp; " años " &amp; DATEDIF(U25,S25,"ym") &amp; " meses " &amp; DATEDIF(U25,S25,"md") &amp; " días"</f>
        <v>6 años 1 meses 5 días</v>
      </c>
      <c r="J25" s="195"/>
      <c r="K25" s="196"/>
      <c r="L25" s="197"/>
      <c r="M25" s="144">
        <v>90000</v>
      </c>
      <c r="N25" s="115">
        <f t="shared" ref="N25:N32" si="7">M25*G25</f>
        <v>76500</v>
      </c>
      <c r="O25" s="134"/>
      <c r="P25" s="134" t="s">
        <v>42</v>
      </c>
      <c r="Q25" s="115" t="s">
        <v>336</v>
      </c>
      <c r="R25" s="145">
        <v>34547</v>
      </c>
      <c r="S25" s="146">
        <v>45383</v>
      </c>
      <c r="T25" s="145">
        <v>27942</v>
      </c>
      <c r="U25" s="145">
        <v>43158</v>
      </c>
      <c r="V25" s="116"/>
      <c r="W25" s="116"/>
      <c r="X25" s="116"/>
      <c r="Y25" s="116"/>
      <c r="Z25" s="52" t="s">
        <v>1973</v>
      </c>
      <c r="AA25" s="52"/>
      <c r="AB25" s="52"/>
      <c r="AC25" s="117"/>
      <c r="AD25" s="118" t="s">
        <v>35</v>
      </c>
      <c r="AE25" s="119" t="s">
        <v>36</v>
      </c>
      <c r="AF25" s="135" t="s">
        <v>37</v>
      </c>
      <c r="AH25" s="118"/>
      <c r="AI25" s="118"/>
      <c r="AJ25" s="118"/>
      <c r="AL25" s="118"/>
      <c r="AM25" s="118"/>
      <c r="AN25" s="118"/>
    </row>
    <row r="26" spans="1:46" s="93" customFormat="1" ht="39.950000000000003" customHeight="1" x14ac:dyDescent="0.25">
      <c r="A26" s="110">
        <v>8</v>
      </c>
      <c r="B26" s="139"/>
      <c r="C26" s="140" t="s">
        <v>49</v>
      </c>
      <c r="D26" s="140" t="s">
        <v>1978</v>
      </c>
      <c r="E26" s="141" t="s">
        <v>1979</v>
      </c>
      <c r="F26" s="142" t="str">
        <f t="shared" si="4"/>
        <v>35 años 10 meses 17 días</v>
      </c>
      <c r="G26" s="143">
        <v>1</v>
      </c>
      <c r="H26" s="110" t="str">
        <f t="shared" si="5"/>
        <v>56 años 2 meses 11 días</v>
      </c>
      <c r="I26" s="110" t="str">
        <f t="shared" si="6"/>
        <v>4 años 1 meses 5 días</v>
      </c>
      <c r="J26" s="195"/>
      <c r="K26" s="196"/>
      <c r="L26" s="197"/>
      <c r="M26" s="144">
        <v>35615.53</v>
      </c>
      <c r="N26" s="115">
        <f t="shared" si="7"/>
        <v>35615.53</v>
      </c>
      <c r="O26" s="134"/>
      <c r="P26" s="134" t="s">
        <v>42</v>
      </c>
      <c r="Q26" s="115" t="s">
        <v>336</v>
      </c>
      <c r="R26" s="145">
        <v>32278</v>
      </c>
      <c r="S26" s="146">
        <v>45383</v>
      </c>
      <c r="T26" s="145">
        <v>24858</v>
      </c>
      <c r="U26" s="145">
        <v>43888</v>
      </c>
      <c r="V26" s="116"/>
      <c r="W26" s="116"/>
      <c r="X26" s="116"/>
      <c r="Y26" s="116"/>
      <c r="Z26" s="52"/>
      <c r="AA26" s="52"/>
      <c r="AB26" s="52"/>
      <c r="AC26" s="117"/>
      <c r="AD26" s="118" t="s">
        <v>35</v>
      </c>
      <c r="AE26" s="119" t="s">
        <v>36</v>
      </c>
      <c r="AF26" s="135" t="s">
        <v>37</v>
      </c>
      <c r="AH26" s="118"/>
      <c r="AI26" s="118"/>
      <c r="AJ26" s="118"/>
      <c r="AL26" s="118"/>
      <c r="AM26" s="118"/>
      <c r="AN26" s="118"/>
    </row>
    <row r="27" spans="1:46" s="93" customFormat="1" ht="39.950000000000003" customHeight="1" x14ac:dyDescent="0.25">
      <c r="A27" s="110">
        <v>9</v>
      </c>
      <c r="B27" s="139"/>
      <c r="C27" s="140" t="s">
        <v>49</v>
      </c>
      <c r="D27" s="140" t="s">
        <v>1980</v>
      </c>
      <c r="E27" s="141" t="s">
        <v>1981</v>
      </c>
      <c r="F27" s="142" t="str">
        <f t="shared" si="4"/>
        <v>28 años 10 meses 30 días</v>
      </c>
      <c r="G27" s="143">
        <v>0.82499999999999996</v>
      </c>
      <c r="H27" s="110" t="str">
        <f t="shared" si="5"/>
        <v>47 años 7 meses 0 días</v>
      </c>
      <c r="I27" s="110" t="str">
        <f t="shared" si="6"/>
        <v>6 años 1 meses 5 días</v>
      </c>
      <c r="J27" s="195"/>
      <c r="K27" s="196"/>
      <c r="L27" s="197"/>
      <c r="M27" s="144">
        <v>39234.81</v>
      </c>
      <c r="N27" s="115">
        <f t="shared" si="7"/>
        <v>32368.718249999998</v>
      </c>
      <c r="O27" s="134"/>
      <c r="P27" s="134" t="s">
        <v>42</v>
      </c>
      <c r="Q27" s="115" t="s">
        <v>336</v>
      </c>
      <c r="R27" s="145">
        <v>34821</v>
      </c>
      <c r="S27" s="146">
        <v>45383</v>
      </c>
      <c r="T27" s="145">
        <v>28004</v>
      </c>
      <c r="U27" s="145">
        <v>43158</v>
      </c>
      <c r="V27" s="116"/>
      <c r="W27" s="116"/>
      <c r="X27" s="116"/>
      <c r="Y27" s="116"/>
      <c r="Z27" s="52"/>
      <c r="AA27" s="52"/>
      <c r="AB27" s="52"/>
      <c r="AC27" s="117"/>
      <c r="AD27" s="118" t="s">
        <v>129</v>
      </c>
      <c r="AE27" s="119" t="s">
        <v>36</v>
      </c>
      <c r="AF27" s="135" t="s">
        <v>37</v>
      </c>
      <c r="AH27" s="118"/>
      <c r="AI27" s="118"/>
      <c r="AJ27" s="118"/>
      <c r="AL27" s="118"/>
      <c r="AM27" s="118"/>
      <c r="AN27" s="118"/>
    </row>
    <row r="28" spans="1:46" s="93" customFormat="1" ht="39.950000000000003" customHeight="1" x14ac:dyDescent="0.25">
      <c r="A28" s="110">
        <v>10</v>
      </c>
      <c r="B28" s="139"/>
      <c r="C28" s="140" t="s">
        <v>49</v>
      </c>
      <c r="D28" s="140" t="s">
        <v>1982</v>
      </c>
      <c r="E28" s="141" t="s">
        <v>1983</v>
      </c>
      <c r="F28" s="142" t="str">
        <f t="shared" ref="F28:F32" si="8">DATEDIF(R28,S28,"y") + DATEDIF(V28,W28,"y") + DATEDIF(X28,Y28,"y") + SUM(AH28) &amp; " años " &amp; DATEDIF(R28,S28,"ym") + DATEDIF(V28,W28,"ym") + DATEDIF(X28,Y28,"ym") + SUM(AI28) - SUM(AM28) &amp; " meses " &amp; DATEDIF(R28,S28,"md") + DATEDIF(V28,W28,"md") + DATEDIF(X28,Y28,"md") - SUM(AN28) &amp; " días"</f>
        <v>26 años 3 meses 13 días</v>
      </c>
      <c r="G28" s="143">
        <v>0.75</v>
      </c>
      <c r="H28" s="110" t="str">
        <f t="shared" si="5"/>
        <v>48 años 11 meses 22 días</v>
      </c>
      <c r="I28" s="110" t="str">
        <f t="shared" si="6"/>
        <v>2 años 1 meses 5 días</v>
      </c>
      <c r="J28" s="195"/>
      <c r="K28" s="196"/>
      <c r="L28" s="197"/>
      <c r="M28" s="144">
        <v>35615.519999999997</v>
      </c>
      <c r="N28" s="115">
        <f t="shared" si="7"/>
        <v>26711.64</v>
      </c>
      <c r="O28" s="134"/>
      <c r="P28" s="134" t="s">
        <v>42</v>
      </c>
      <c r="Q28" s="115" t="s">
        <v>336</v>
      </c>
      <c r="R28" s="145">
        <v>37773</v>
      </c>
      <c r="S28" s="146">
        <v>45383</v>
      </c>
      <c r="T28" s="145">
        <v>27494</v>
      </c>
      <c r="U28" s="145">
        <v>44619</v>
      </c>
      <c r="V28" s="116">
        <v>34578</v>
      </c>
      <c r="W28" s="116">
        <v>34688</v>
      </c>
      <c r="X28" s="116">
        <v>35886</v>
      </c>
      <c r="Y28" s="116">
        <v>37767</v>
      </c>
      <c r="Z28" s="52" t="s">
        <v>1973</v>
      </c>
      <c r="AA28" s="147" t="s">
        <v>1984</v>
      </c>
      <c r="AB28" s="52"/>
      <c r="AC28" s="117"/>
      <c r="AD28" s="118" t="s">
        <v>129</v>
      </c>
      <c r="AE28" s="119" t="s">
        <v>36</v>
      </c>
      <c r="AF28" s="135" t="s">
        <v>37</v>
      </c>
      <c r="AH28" s="118">
        <v>1</v>
      </c>
      <c r="AI28" s="118">
        <v>1</v>
      </c>
      <c r="AJ28" s="118"/>
      <c r="AL28" s="118"/>
      <c r="AM28" s="118">
        <v>12</v>
      </c>
      <c r="AN28" s="118">
        <v>31</v>
      </c>
    </row>
    <row r="29" spans="1:46" s="93" customFormat="1" ht="39.950000000000003" customHeight="1" x14ac:dyDescent="0.25">
      <c r="A29" s="110">
        <v>11</v>
      </c>
      <c r="B29" s="139"/>
      <c r="C29" s="140" t="s">
        <v>49</v>
      </c>
      <c r="D29" s="140" t="s">
        <v>1985</v>
      </c>
      <c r="E29" s="141" t="s">
        <v>1986</v>
      </c>
      <c r="F29" s="142" t="str">
        <f t="shared" si="8"/>
        <v>27 años 7 meses 1 días</v>
      </c>
      <c r="G29" s="143">
        <v>0.8</v>
      </c>
      <c r="H29" s="110" t="str">
        <f t="shared" si="5"/>
        <v>49 años 9 meses 4 días</v>
      </c>
      <c r="I29" s="110" t="str">
        <f t="shared" si="6"/>
        <v>2 años 1 meses 5 días</v>
      </c>
      <c r="J29" s="195"/>
      <c r="K29" s="196"/>
      <c r="L29" s="197"/>
      <c r="M29" s="144">
        <f>35615.53+12000</f>
        <v>47615.53</v>
      </c>
      <c r="N29" s="115">
        <f t="shared" si="7"/>
        <v>38092.423999999999</v>
      </c>
      <c r="O29" s="134"/>
      <c r="P29" s="134" t="s">
        <v>42</v>
      </c>
      <c r="Q29" s="115" t="s">
        <v>336</v>
      </c>
      <c r="R29" s="145">
        <v>36800</v>
      </c>
      <c r="S29" s="146">
        <v>45383</v>
      </c>
      <c r="T29" s="145">
        <v>27208</v>
      </c>
      <c r="U29" s="145">
        <v>44619</v>
      </c>
      <c r="V29" s="116">
        <v>33984</v>
      </c>
      <c r="W29" s="116">
        <v>35477</v>
      </c>
      <c r="X29" s="116"/>
      <c r="Y29" s="116"/>
      <c r="Z29" s="52" t="s">
        <v>1973</v>
      </c>
      <c r="AA29" s="52"/>
      <c r="AB29" s="52"/>
      <c r="AC29" s="117"/>
      <c r="AD29" s="118" t="s">
        <v>129</v>
      </c>
      <c r="AE29" s="119" t="s">
        <v>36</v>
      </c>
      <c r="AF29" s="135" t="s">
        <v>37</v>
      </c>
      <c r="AH29" s="118"/>
      <c r="AI29" s="118"/>
      <c r="AJ29" s="118"/>
      <c r="AL29" s="118"/>
      <c r="AM29" s="118"/>
      <c r="AN29" s="118"/>
    </row>
    <row r="30" spans="1:46" s="93" customFormat="1" ht="39.950000000000003" customHeight="1" x14ac:dyDescent="0.25">
      <c r="A30" s="110">
        <v>12</v>
      </c>
      <c r="B30" s="139"/>
      <c r="C30" s="140" t="s">
        <v>49</v>
      </c>
      <c r="D30" s="140" t="s">
        <v>1987</v>
      </c>
      <c r="E30" s="141" t="s">
        <v>1988</v>
      </c>
      <c r="F30" s="142" t="str">
        <f t="shared" si="8"/>
        <v>29 años 10 meses 25 días</v>
      </c>
      <c r="G30" s="143">
        <v>0.85</v>
      </c>
      <c r="H30" s="110" t="str">
        <f t="shared" si="5"/>
        <v>63 años 8 meses 15 días</v>
      </c>
      <c r="I30" s="110" t="str">
        <f t="shared" si="6"/>
        <v>8 años 1 meses 0 días</v>
      </c>
      <c r="J30" s="195"/>
      <c r="K30" s="196"/>
      <c r="L30" s="197"/>
      <c r="M30" s="144">
        <f>39234.81</f>
        <v>39234.81</v>
      </c>
      <c r="N30" s="115">
        <f t="shared" si="7"/>
        <v>33349.588499999998</v>
      </c>
      <c r="O30" s="134"/>
      <c r="P30" s="134" t="s">
        <v>42</v>
      </c>
      <c r="Q30" s="115" t="s">
        <v>336</v>
      </c>
      <c r="R30" s="145">
        <v>36975</v>
      </c>
      <c r="S30" s="146">
        <v>45383</v>
      </c>
      <c r="T30" s="145">
        <v>22114</v>
      </c>
      <c r="U30" s="145">
        <v>42430</v>
      </c>
      <c r="V30" s="116">
        <v>29252</v>
      </c>
      <c r="W30" s="116">
        <v>31765</v>
      </c>
      <c r="X30" s="116"/>
      <c r="Y30" s="116"/>
      <c r="Z30" s="52" t="s">
        <v>1973</v>
      </c>
      <c r="AA30" s="52"/>
      <c r="AB30" s="52"/>
      <c r="AC30" s="117"/>
      <c r="AD30" s="118" t="s">
        <v>293</v>
      </c>
      <c r="AE30" s="119" t="s">
        <v>36</v>
      </c>
      <c r="AF30" s="135" t="s">
        <v>37</v>
      </c>
      <c r="AH30" s="118"/>
      <c r="AI30" s="118"/>
      <c r="AJ30" s="118"/>
      <c r="AL30" s="118"/>
      <c r="AM30" s="118"/>
      <c r="AN30" s="118"/>
    </row>
    <row r="31" spans="1:46" s="93" customFormat="1" ht="39.950000000000003" customHeight="1" x14ac:dyDescent="0.25">
      <c r="A31" s="110">
        <v>13</v>
      </c>
      <c r="B31" s="139"/>
      <c r="C31" s="140" t="s">
        <v>49</v>
      </c>
      <c r="D31" s="140" t="s">
        <v>1989</v>
      </c>
      <c r="E31" s="141" t="s">
        <v>1990</v>
      </c>
      <c r="F31" s="142" t="str">
        <f t="shared" si="8"/>
        <v>36 años 4 meses 0 días</v>
      </c>
      <c r="G31" s="143">
        <v>1</v>
      </c>
      <c r="H31" s="110" t="str">
        <f t="shared" si="5"/>
        <v>56 años 9 meses 26 días</v>
      </c>
      <c r="I31" s="110" t="str">
        <f t="shared" si="6"/>
        <v>6 años 1 meses 5 días</v>
      </c>
      <c r="J31" s="195"/>
      <c r="K31" s="196"/>
      <c r="L31" s="197"/>
      <c r="M31" s="144">
        <v>39234.82</v>
      </c>
      <c r="N31" s="115">
        <f t="shared" si="7"/>
        <v>39234.82</v>
      </c>
      <c r="O31" s="134"/>
      <c r="P31" s="134" t="s">
        <v>42</v>
      </c>
      <c r="Q31" s="115" t="s">
        <v>336</v>
      </c>
      <c r="R31" s="145">
        <v>32112</v>
      </c>
      <c r="S31" s="146">
        <v>45383</v>
      </c>
      <c r="T31" s="145">
        <v>24629</v>
      </c>
      <c r="U31" s="145">
        <v>43158</v>
      </c>
      <c r="V31" s="116"/>
      <c r="W31" s="116"/>
      <c r="X31" s="116"/>
      <c r="Y31" s="116"/>
      <c r="Z31" s="52"/>
      <c r="AA31" s="52"/>
      <c r="AB31" s="52"/>
      <c r="AC31" s="117"/>
      <c r="AD31" s="118" t="s">
        <v>48</v>
      </c>
      <c r="AE31" s="119" t="s">
        <v>36</v>
      </c>
      <c r="AF31" s="135" t="s">
        <v>37</v>
      </c>
      <c r="AH31" s="118"/>
      <c r="AI31" s="118"/>
      <c r="AJ31" s="118"/>
      <c r="AL31" s="118"/>
      <c r="AM31" s="118"/>
      <c r="AN31" s="118"/>
    </row>
    <row r="32" spans="1:46" s="93" customFormat="1" ht="39.950000000000003" customHeight="1" x14ac:dyDescent="0.25">
      <c r="A32" s="110">
        <v>14</v>
      </c>
      <c r="B32" s="139"/>
      <c r="C32" s="140" t="s">
        <v>49</v>
      </c>
      <c r="D32" s="140" t="s">
        <v>1991</v>
      </c>
      <c r="E32" s="141" t="s">
        <v>1992</v>
      </c>
      <c r="F32" s="142" t="str">
        <f t="shared" si="8"/>
        <v>30 años 3 meses 27 días</v>
      </c>
      <c r="G32" s="143">
        <v>0.85</v>
      </c>
      <c r="H32" s="110" t="str">
        <f t="shared" si="5"/>
        <v>53 años 9 meses 22 días</v>
      </c>
      <c r="I32" s="110" t="str">
        <f t="shared" si="6"/>
        <v>5 años 1 meses 0 días</v>
      </c>
      <c r="J32" s="195"/>
      <c r="K32" s="196"/>
      <c r="L32" s="197"/>
      <c r="M32" s="144">
        <v>39234.82</v>
      </c>
      <c r="N32" s="115">
        <f t="shared" si="7"/>
        <v>33349.597000000002</v>
      </c>
      <c r="O32" s="134"/>
      <c r="P32" s="134" t="s">
        <v>42</v>
      </c>
      <c r="Q32" s="115" t="s">
        <v>336</v>
      </c>
      <c r="R32" s="145">
        <v>35309</v>
      </c>
      <c r="S32" s="146">
        <v>45383</v>
      </c>
      <c r="T32" s="145">
        <v>25729</v>
      </c>
      <c r="U32" s="145">
        <v>43525</v>
      </c>
      <c r="V32" s="116">
        <v>33787</v>
      </c>
      <c r="W32" s="116">
        <v>34787</v>
      </c>
      <c r="X32" s="116"/>
      <c r="Y32" s="116"/>
      <c r="Z32" s="52"/>
      <c r="AA32" s="52"/>
      <c r="AB32" s="52"/>
      <c r="AC32" s="117"/>
      <c r="AD32" s="118" t="s">
        <v>48</v>
      </c>
      <c r="AE32" s="119" t="s">
        <v>36</v>
      </c>
      <c r="AF32" s="135" t="s">
        <v>37</v>
      </c>
      <c r="AH32" s="118">
        <v>1</v>
      </c>
      <c r="AI32" s="118"/>
      <c r="AJ32" s="118"/>
      <c r="AL32" s="118"/>
      <c r="AM32" s="118">
        <v>12</v>
      </c>
      <c r="AN32" s="118"/>
    </row>
    <row r="33" spans="1:40" s="93" customFormat="1" ht="39.950000000000003" customHeight="1" x14ac:dyDescent="0.25">
      <c r="A33" s="110">
        <v>15</v>
      </c>
      <c r="B33" s="110"/>
      <c r="C33" s="148" t="s">
        <v>49</v>
      </c>
      <c r="D33" s="140" t="s">
        <v>1993</v>
      </c>
      <c r="E33" s="141" t="s">
        <v>1994</v>
      </c>
      <c r="F33" s="142" t="str">
        <f>DATEDIF(R33,S33,"y") + DATEDIF(V33,W33,"y") + DATEDIF(X33,Y33,"y") + SUM(AH33) &amp; " años " &amp; DATEDIF(R33,S33,"ym") + DATEDIF(V33,W33,"ym") + DATEDIF(X33,Y33,"ym") + SUM(AI33) - SUM(AM33) &amp; " meses " &amp; DATEDIF(R33,S33,"md") + DATEDIF(V33,W33,"md") + DATEDIF(X33,Y33,"md") - SUM(AN33) &amp; " días"</f>
        <v>31 años 8 meses 0 días</v>
      </c>
      <c r="G33" s="149">
        <v>1</v>
      </c>
      <c r="H33" s="110" t="str">
        <f>DATEDIF(T33,S33,"y") &amp; " años " &amp; DATEDIF(T33,S33,"ym") &amp; " meses " &amp; DATEDIF(T33,S33,"md") &amp; " días"</f>
        <v>49 años 1 meses 16 días</v>
      </c>
      <c r="I33" s="110" t="str">
        <f>DATEDIF(U33,S33,"y") &amp; " años " &amp; DATEDIF(U33,S33,"ym") &amp; " meses " &amp; DATEDIF(U33,S33,"md") &amp; " días"</f>
        <v>8 años 1 meses 0 días</v>
      </c>
      <c r="J33" s="195"/>
      <c r="K33" s="196"/>
      <c r="L33" s="197"/>
      <c r="M33" s="115">
        <v>39234.82</v>
      </c>
      <c r="N33" s="115">
        <f>M33*G33</f>
        <v>39234.82</v>
      </c>
      <c r="O33" s="134" t="s">
        <v>1995</v>
      </c>
      <c r="P33" s="134" t="s">
        <v>33</v>
      </c>
      <c r="Q33" s="115" t="s">
        <v>337</v>
      </c>
      <c r="R33" s="145">
        <v>33817</v>
      </c>
      <c r="S33" s="146">
        <v>45383</v>
      </c>
      <c r="T33" s="145">
        <v>27441</v>
      </c>
      <c r="U33" s="145">
        <v>42430</v>
      </c>
      <c r="V33" s="116"/>
      <c r="W33" s="116"/>
      <c r="X33" s="116"/>
      <c r="Y33" s="116"/>
      <c r="Z33"/>
      <c r="AA33"/>
      <c r="AB33"/>
      <c r="AC33" s="117"/>
      <c r="AD33" s="118" t="s">
        <v>129</v>
      </c>
      <c r="AE33" s="119" t="s">
        <v>36</v>
      </c>
      <c r="AF33" s="135" t="s">
        <v>37</v>
      </c>
      <c r="AH33" s="118"/>
      <c r="AI33" s="118"/>
      <c r="AJ33" s="118"/>
      <c r="AL33" s="118"/>
      <c r="AM33" s="118"/>
      <c r="AN33" s="118"/>
    </row>
    <row r="34" spans="1:40" s="93" customFormat="1" ht="39.950000000000003" customHeight="1" x14ac:dyDescent="0.25">
      <c r="A34" s="110">
        <v>16</v>
      </c>
      <c r="B34" s="139"/>
      <c r="C34" s="140" t="s">
        <v>56</v>
      </c>
      <c r="D34" s="140" t="s">
        <v>1996</v>
      </c>
      <c r="E34" s="141" t="s">
        <v>1997</v>
      </c>
      <c r="F34" s="142" t="str">
        <f t="shared" ref="F34:F43" si="9">DATEDIF(R34,S34,"y") + DATEDIF(V34,W34,"y") + DATEDIF(X34,Y34,"y") + SUM(AH34) &amp; " años " &amp; DATEDIF(R34,S34,"ym") + DATEDIF(V34,W34,"ym") + DATEDIF(X34,Y34,"ym") + SUM(AI34) - SUM(AM34) &amp; " meses " &amp; DATEDIF(R34,S34,"md") + DATEDIF(V34,W34,"md") + DATEDIF(X34,Y34,"md") - SUM(AN34) &amp; " días"</f>
        <v>24 años 2 meses 21 días</v>
      </c>
      <c r="G34" s="143">
        <v>0.7</v>
      </c>
      <c r="H34" s="110" t="str">
        <f t="shared" ref="H34:H43" si="10">DATEDIF(T34,S34,"y") &amp; " años " &amp; DATEDIF(T34,S34,"ym") &amp; " meses " &amp; DATEDIF(T34,S34,"md") &amp; " días"</f>
        <v>44 años 7 meses 24 días</v>
      </c>
      <c r="I34" s="110" t="str">
        <f t="shared" ref="I34:I43" si="11">DATEDIF(U34,S34,"y") &amp; " años " &amp; DATEDIF(U34,S34,"ym") &amp; " meses " &amp; DATEDIF(U34,S34,"md") &amp; " días"</f>
        <v>4 años 1 meses 5 días</v>
      </c>
      <c r="J34" s="195"/>
      <c r="K34" s="196"/>
      <c r="L34" s="197"/>
      <c r="M34" s="144">
        <f>34575.77+8000</f>
        <v>42575.77</v>
      </c>
      <c r="N34" s="115">
        <f t="shared" ref="N34:N66" si="12">M34*G34</f>
        <v>29803.038999999997</v>
      </c>
      <c r="O34" s="134"/>
      <c r="P34" s="134" t="s">
        <v>42</v>
      </c>
      <c r="Q34" s="115" t="s">
        <v>336</v>
      </c>
      <c r="R34" s="145">
        <v>36536</v>
      </c>
      <c r="S34" s="146">
        <v>45383</v>
      </c>
      <c r="T34" s="145">
        <v>29075</v>
      </c>
      <c r="U34" s="145">
        <v>43888</v>
      </c>
      <c r="V34" s="116"/>
      <c r="W34" s="116"/>
      <c r="X34" s="116"/>
      <c r="Y34" s="116"/>
      <c r="Z34" s="52"/>
      <c r="AA34" s="52"/>
      <c r="AB34" s="52"/>
      <c r="AC34" s="117"/>
      <c r="AD34" s="118" t="s">
        <v>129</v>
      </c>
      <c r="AE34" s="119" t="s">
        <v>36</v>
      </c>
      <c r="AF34" s="135" t="s">
        <v>37</v>
      </c>
      <c r="AH34" s="118"/>
      <c r="AI34" s="118"/>
      <c r="AJ34" s="118"/>
      <c r="AL34" s="118"/>
      <c r="AM34" s="118"/>
      <c r="AN34" s="118"/>
    </row>
    <row r="35" spans="1:40" s="93" customFormat="1" ht="39.950000000000003" customHeight="1" x14ac:dyDescent="0.25">
      <c r="A35" s="110">
        <v>17</v>
      </c>
      <c r="B35" s="139"/>
      <c r="C35" s="140" t="s">
        <v>56</v>
      </c>
      <c r="D35" s="140" t="s">
        <v>1998</v>
      </c>
      <c r="E35" s="141" t="s">
        <v>1999</v>
      </c>
      <c r="F35" s="142" t="str">
        <f t="shared" si="9"/>
        <v>34 años 8 meses 27 días</v>
      </c>
      <c r="G35" s="143">
        <v>1</v>
      </c>
      <c r="H35" s="110" t="str">
        <f t="shared" si="10"/>
        <v>54 años 5 meses 16 días</v>
      </c>
      <c r="I35" s="110" t="str">
        <f t="shared" si="11"/>
        <v>6 años 1 meses 5 días</v>
      </c>
      <c r="J35" s="195"/>
      <c r="K35" s="196"/>
      <c r="L35" s="197"/>
      <c r="M35" s="144">
        <v>35615.53</v>
      </c>
      <c r="N35" s="115">
        <f t="shared" si="12"/>
        <v>35615.53</v>
      </c>
      <c r="O35" s="134"/>
      <c r="P35" s="134" t="s">
        <v>42</v>
      </c>
      <c r="Q35" s="115" t="s">
        <v>336</v>
      </c>
      <c r="R35" s="145">
        <v>32694</v>
      </c>
      <c r="S35" s="146">
        <v>45383</v>
      </c>
      <c r="T35" s="145">
        <v>25492</v>
      </c>
      <c r="U35" s="145">
        <v>43158</v>
      </c>
      <c r="V35" s="116"/>
      <c r="W35" s="116"/>
      <c r="X35" s="116"/>
      <c r="Y35" s="116"/>
      <c r="Z35" s="52"/>
      <c r="AA35" s="52"/>
      <c r="AB35" s="52"/>
      <c r="AC35" s="117"/>
      <c r="AD35" s="118" t="s">
        <v>129</v>
      </c>
      <c r="AE35" s="119" t="s">
        <v>36</v>
      </c>
      <c r="AF35" s="135" t="s">
        <v>37</v>
      </c>
      <c r="AH35" s="118"/>
      <c r="AI35" s="118"/>
      <c r="AJ35" s="118"/>
      <c r="AL35" s="118"/>
      <c r="AM35" s="118"/>
      <c r="AN35" s="118"/>
    </row>
    <row r="36" spans="1:40" s="93" customFormat="1" ht="39.950000000000003" customHeight="1" x14ac:dyDescent="0.25">
      <c r="A36" s="110">
        <v>18</v>
      </c>
      <c r="B36" s="139"/>
      <c r="C36" s="140" t="s">
        <v>56</v>
      </c>
      <c r="D36" s="140" t="s">
        <v>2000</v>
      </c>
      <c r="E36" s="141" t="s">
        <v>2001</v>
      </c>
      <c r="F36" s="142" t="str">
        <f t="shared" si="9"/>
        <v>31 años 9 meses 29 días</v>
      </c>
      <c r="G36" s="143">
        <v>0.91</v>
      </c>
      <c r="H36" s="110" t="str">
        <f t="shared" si="10"/>
        <v>54 años 8 meses 3 días</v>
      </c>
      <c r="I36" s="110" t="str">
        <f t="shared" si="11"/>
        <v>8 años 1 meses 0 días</v>
      </c>
      <c r="J36" s="195"/>
      <c r="K36" s="196"/>
      <c r="L36" s="197"/>
      <c r="M36" s="144">
        <v>35615.53</v>
      </c>
      <c r="N36" s="115">
        <f t="shared" si="12"/>
        <v>32410.132300000001</v>
      </c>
      <c r="O36" s="134"/>
      <c r="P36" s="134" t="s">
        <v>42</v>
      </c>
      <c r="Q36" s="115" t="s">
        <v>336</v>
      </c>
      <c r="R36" s="145">
        <v>37154</v>
      </c>
      <c r="S36" s="146">
        <v>45383</v>
      </c>
      <c r="T36" s="145">
        <v>25413</v>
      </c>
      <c r="U36" s="145">
        <v>42430</v>
      </c>
      <c r="V36" s="116">
        <v>33758</v>
      </c>
      <c r="W36" s="116">
        <v>37154</v>
      </c>
      <c r="X36" s="116"/>
      <c r="Y36" s="116"/>
      <c r="Z36" s="52"/>
      <c r="AA36" s="52"/>
      <c r="AB36" s="52"/>
      <c r="AC36" s="117"/>
      <c r="AD36" s="118" t="s">
        <v>35</v>
      </c>
      <c r="AE36" s="119" t="s">
        <v>36</v>
      </c>
      <c r="AF36" s="135" t="s">
        <v>37</v>
      </c>
      <c r="AH36" s="118"/>
      <c r="AI36" s="118"/>
      <c r="AJ36" s="118"/>
      <c r="AL36" s="118"/>
      <c r="AM36" s="118"/>
      <c r="AN36" s="118"/>
    </row>
    <row r="37" spans="1:40" s="93" customFormat="1" ht="39.950000000000003" customHeight="1" x14ac:dyDescent="0.25">
      <c r="A37" s="110">
        <v>19</v>
      </c>
      <c r="B37" s="139"/>
      <c r="C37" s="140" t="s">
        <v>56</v>
      </c>
      <c r="D37" s="140" t="s">
        <v>2002</v>
      </c>
      <c r="E37" s="141" t="s">
        <v>2003</v>
      </c>
      <c r="F37" s="142" t="str">
        <f t="shared" si="9"/>
        <v>28 años 11 meses 0 días</v>
      </c>
      <c r="G37" s="143">
        <v>0.82499999999999996</v>
      </c>
      <c r="H37" s="110" t="str">
        <f t="shared" si="10"/>
        <v>47 años 5 meses 3 días</v>
      </c>
      <c r="I37" s="110" t="str">
        <f t="shared" si="11"/>
        <v>6 años 1 meses 5 días</v>
      </c>
      <c r="J37" s="195"/>
      <c r="K37" s="196"/>
      <c r="L37" s="197"/>
      <c r="M37" s="144">
        <v>35615.53</v>
      </c>
      <c r="N37" s="115">
        <f t="shared" si="12"/>
        <v>29382.812249999999</v>
      </c>
      <c r="O37" s="134"/>
      <c r="P37" s="134" t="s">
        <v>42</v>
      </c>
      <c r="Q37" s="115" t="s">
        <v>336</v>
      </c>
      <c r="R37" s="145">
        <v>34820</v>
      </c>
      <c r="S37" s="146">
        <v>45383</v>
      </c>
      <c r="T37" s="145">
        <v>28062</v>
      </c>
      <c r="U37" s="145">
        <v>43158</v>
      </c>
      <c r="V37" s="116"/>
      <c r="W37" s="116"/>
      <c r="X37" s="116"/>
      <c r="Y37" s="116"/>
      <c r="Z37" s="52"/>
      <c r="AA37" s="52"/>
      <c r="AB37" s="52"/>
      <c r="AC37" s="117"/>
      <c r="AD37" s="118" t="s">
        <v>48</v>
      </c>
      <c r="AE37" s="119" t="s">
        <v>36</v>
      </c>
      <c r="AF37" s="135" t="s">
        <v>37</v>
      </c>
      <c r="AH37" s="118"/>
      <c r="AI37" s="118"/>
      <c r="AJ37" s="118"/>
      <c r="AL37" s="118"/>
      <c r="AM37" s="118"/>
      <c r="AN37" s="118"/>
    </row>
    <row r="38" spans="1:40" s="93" customFormat="1" ht="39.950000000000003" customHeight="1" x14ac:dyDescent="0.25">
      <c r="A38" s="110">
        <v>20</v>
      </c>
      <c r="B38" s="139"/>
      <c r="C38" s="140" t="s">
        <v>56</v>
      </c>
      <c r="D38" s="140" t="s">
        <v>2004</v>
      </c>
      <c r="E38" s="141" t="s">
        <v>2005</v>
      </c>
      <c r="F38" s="142" t="str">
        <f>DATEDIF(R38,S38,"y") + DATEDIF(V38,W38,"y") + DATEDIF(X38,Y38,"y") + SUM(AH38) &amp; " años " &amp; DATEDIF(R38,S38,"ym") + DATEDIF(V38,W38,"ym") + DATEDIF(X38,Y38,"ym") + SUM(AI38) - SUM(AM38) &amp; " meses " &amp; DATEDIF(R38,S38,"md") + DATEDIF(V38,W38,"md") + DATEDIF(X38,Y38,"md") - SUM(AN38) &amp; " días"</f>
        <v>23 años 11 meses 0 días</v>
      </c>
      <c r="G38" s="143">
        <v>0.7</v>
      </c>
      <c r="H38" s="110" t="str">
        <f t="shared" si="10"/>
        <v>53 años 3 meses 22 días</v>
      </c>
      <c r="I38" s="110" t="str">
        <f t="shared" si="11"/>
        <v>9 años 1 meses 5 días</v>
      </c>
      <c r="J38" s="195"/>
      <c r="K38" s="196"/>
      <c r="L38" s="197"/>
      <c r="M38" s="144">
        <f>35615.53+12000</f>
        <v>47615.53</v>
      </c>
      <c r="N38" s="115">
        <f t="shared" si="12"/>
        <v>33330.870999999999</v>
      </c>
      <c r="O38" s="134"/>
      <c r="P38" s="134" t="s">
        <v>42</v>
      </c>
      <c r="Q38" s="115" t="s">
        <v>336</v>
      </c>
      <c r="R38" s="145">
        <v>36647</v>
      </c>
      <c r="S38" s="146">
        <v>45383</v>
      </c>
      <c r="T38" s="145">
        <v>25912</v>
      </c>
      <c r="U38" s="145">
        <v>42062</v>
      </c>
      <c r="V38" s="116"/>
      <c r="W38" s="116"/>
      <c r="X38" s="116"/>
      <c r="Y38" s="116"/>
      <c r="Z38" s="52"/>
      <c r="AA38" s="52"/>
      <c r="AB38" s="52"/>
      <c r="AC38" s="117"/>
      <c r="AD38" s="118" t="s">
        <v>129</v>
      </c>
      <c r="AE38" s="119" t="s">
        <v>36</v>
      </c>
      <c r="AF38" s="135" t="s">
        <v>37</v>
      </c>
      <c r="AH38" s="118"/>
      <c r="AI38" s="118"/>
      <c r="AJ38" s="118"/>
      <c r="AL38" s="118"/>
      <c r="AM38" s="118"/>
      <c r="AN38" s="118"/>
    </row>
    <row r="39" spans="1:40" s="93" customFormat="1" ht="39.950000000000003" customHeight="1" x14ac:dyDescent="0.25">
      <c r="A39" s="110">
        <v>21</v>
      </c>
      <c r="B39" s="139"/>
      <c r="C39" s="140" t="s">
        <v>56</v>
      </c>
      <c r="D39" s="140" t="s">
        <v>2006</v>
      </c>
      <c r="E39" s="141" t="s">
        <v>2007</v>
      </c>
      <c r="F39" s="142" t="str">
        <f>DATEDIF(R39,S39,"y") + DATEDIF(V39,W39,"y") + DATEDIF(X39,Y39,"y") + SUM(AH39) &amp; " años " &amp; DATEDIF(R39,S39,"ym") + DATEDIF(V39,W39,"ym") + DATEDIF(X39,Y39,"ym") + SUM(AI39) - SUM(AM39) &amp; " meses " &amp; DATEDIF(R39,S39,"md") + DATEDIF(V39,W39,"md") + DATEDIF(X39,Y39,"md") - SUM(AN39) &amp; " días"</f>
        <v>35 años 10 meses 21 días</v>
      </c>
      <c r="G39" s="143">
        <v>1</v>
      </c>
      <c r="H39" s="110" t="str">
        <f t="shared" si="10"/>
        <v>56 años 10 meses 27 días</v>
      </c>
      <c r="I39" s="110" t="str">
        <f t="shared" si="11"/>
        <v>8 años 1 meses 0 días</v>
      </c>
      <c r="J39" s="195"/>
      <c r="K39" s="196"/>
      <c r="L39" s="197"/>
      <c r="M39" s="144">
        <f>35615.53+12000</f>
        <v>47615.53</v>
      </c>
      <c r="N39" s="115">
        <f t="shared" si="12"/>
        <v>47615.53</v>
      </c>
      <c r="O39" s="134"/>
      <c r="P39" s="134" t="s">
        <v>42</v>
      </c>
      <c r="Q39" s="115" t="s">
        <v>336</v>
      </c>
      <c r="R39" s="145">
        <v>32274</v>
      </c>
      <c r="S39" s="146">
        <v>45383</v>
      </c>
      <c r="T39" s="145">
        <v>24597</v>
      </c>
      <c r="U39" s="145">
        <v>42430</v>
      </c>
      <c r="V39" s="116"/>
      <c r="W39" s="116"/>
      <c r="X39" s="116"/>
      <c r="Y39" s="116"/>
      <c r="Z39" s="52" t="s">
        <v>1973</v>
      </c>
      <c r="AA39" s="52"/>
      <c r="AB39" s="52"/>
      <c r="AC39" s="117"/>
      <c r="AD39" s="118" t="s">
        <v>1032</v>
      </c>
      <c r="AE39" s="119" t="s">
        <v>36</v>
      </c>
      <c r="AF39" s="135" t="s">
        <v>37</v>
      </c>
      <c r="AH39" s="118"/>
      <c r="AI39" s="118"/>
      <c r="AJ39" s="118"/>
      <c r="AL39" s="118"/>
      <c r="AM39" s="118"/>
      <c r="AN39" s="118"/>
    </row>
    <row r="40" spans="1:40" s="93" customFormat="1" ht="39.950000000000003" customHeight="1" x14ac:dyDescent="0.25">
      <c r="A40" s="110">
        <v>22</v>
      </c>
      <c r="B40" s="139"/>
      <c r="C40" s="140" t="s">
        <v>56</v>
      </c>
      <c r="D40" s="140" t="s">
        <v>2008</v>
      </c>
      <c r="E40" s="141" t="s">
        <v>2009</v>
      </c>
      <c r="F40" s="142" t="str">
        <f>DATEDIF(R40,S40,"y") + DATEDIF(V40,W40,"y") + DATEDIF(X40,Y40,"y") + SUM(AH40) &amp; " años " &amp; DATEDIF(R40,S40,"ym") + DATEDIF(V40,W40,"ym") + DATEDIF(X40,Y40,"ym") + SUM(AI40) - SUM(AM40) &amp; " meses " &amp; DATEDIF(R40,S40,"md") + DATEDIF(V40,W40,"md") + DATEDIF(X40,Y40,"md") - SUM(AN40) &amp; " días"</f>
        <v>30 años 1 meses 18 días</v>
      </c>
      <c r="G40" s="143">
        <v>0.85</v>
      </c>
      <c r="H40" s="110" t="str">
        <f t="shared" si="10"/>
        <v>51 años 10 meses 12 días</v>
      </c>
      <c r="I40" s="110" t="str">
        <f t="shared" si="11"/>
        <v>8 años 1 meses 0 días</v>
      </c>
      <c r="J40" s="195"/>
      <c r="K40" s="196"/>
      <c r="L40" s="197"/>
      <c r="M40" s="144">
        <v>35615.53</v>
      </c>
      <c r="N40" s="115">
        <f t="shared" si="12"/>
        <v>30273.200499999999</v>
      </c>
      <c r="O40" s="134"/>
      <c r="P40" s="134" t="s">
        <v>42</v>
      </c>
      <c r="Q40" s="115" t="s">
        <v>336</v>
      </c>
      <c r="R40" s="145">
        <v>34379</v>
      </c>
      <c r="S40" s="146">
        <v>45383</v>
      </c>
      <c r="T40" s="145">
        <v>26439</v>
      </c>
      <c r="U40" s="145">
        <v>42430</v>
      </c>
      <c r="V40" s="116"/>
      <c r="W40" s="116"/>
      <c r="X40" s="116"/>
      <c r="Y40" s="116"/>
      <c r="Z40" s="52"/>
      <c r="AA40" s="52"/>
      <c r="AB40" s="52"/>
      <c r="AC40" s="117"/>
      <c r="AD40" s="118" t="s">
        <v>134</v>
      </c>
      <c r="AE40" s="119" t="s">
        <v>36</v>
      </c>
      <c r="AF40" s="135" t="s">
        <v>37</v>
      </c>
      <c r="AH40" s="118"/>
      <c r="AI40" s="118"/>
      <c r="AJ40" s="118"/>
      <c r="AL40" s="118"/>
      <c r="AM40" s="118"/>
      <c r="AN40" s="118"/>
    </row>
    <row r="41" spans="1:40" s="93" customFormat="1" ht="39.950000000000003" customHeight="1" x14ac:dyDescent="0.25">
      <c r="A41" s="110">
        <v>23</v>
      </c>
      <c r="B41" s="110"/>
      <c r="C41" s="140" t="s">
        <v>56</v>
      </c>
      <c r="D41" s="140" t="s">
        <v>2010</v>
      </c>
      <c r="E41" s="141" t="s">
        <v>2011</v>
      </c>
      <c r="F41" s="142" t="str">
        <f>DATEDIF(R41,S41,"y") + DATEDIF(V41,W41,"y") + DATEDIF(X41,Y41,"y") + SUM(AH41) &amp; " años " &amp; DATEDIF(R41,S41,"ym") + DATEDIF(V41,W41,"ym") + DATEDIF(X41,Y41,"ym") + SUM(AI41) - SUM(AM41) &amp; " meses " &amp; DATEDIF(R41,S41,"md") + DATEDIF(V41,W41,"md") + DATEDIF(X41,Y41,"md") - SUM(AN41) &amp; " días"</f>
        <v>34 años 2 meses 0 días</v>
      </c>
      <c r="G41" s="143">
        <v>0.97</v>
      </c>
      <c r="H41" s="110" t="str">
        <f t="shared" si="10"/>
        <v>52 años 10 meses 9 días</v>
      </c>
      <c r="I41" s="110" t="str">
        <f t="shared" si="11"/>
        <v>5 años 1 meses 0 días</v>
      </c>
      <c r="J41" s="195"/>
      <c r="K41" s="196"/>
      <c r="L41" s="197"/>
      <c r="M41" s="144">
        <f>35615.53+12000</f>
        <v>47615.53</v>
      </c>
      <c r="N41" s="115">
        <f>M41*G41</f>
        <v>46187.064099999996</v>
      </c>
      <c r="O41" s="134"/>
      <c r="P41" s="134" t="s">
        <v>42</v>
      </c>
      <c r="Q41" s="115" t="s">
        <v>336</v>
      </c>
      <c r="R41" s="145">
        <v>32905</v>
      </c>
      <c r="S41" s="146">
        <v>45383</v>
      </c>
      <c r="T41" s="145">
        <v>26076</v>
      </c>
      <c r="U41" s="145">
        <v>43525</v>
      </c>
      <c r="V41" s="116"/>
      <c r="W41" s="116"/>
      <c r="X41" s="116"/>
      <c r="Y41" s="116"/>
      <c r="Z41" s="52" t="s">
        <v>1973</v>
      </c>
      <c r="AA41" s="52"/>
      <c r="AB41" s="52"/>
      <c r="AC41" s="117"/>
      <c r="AD41" s="118" t="s">
        <v>190</v>
      </c>
      <c r="AE41" s="119" t="s">
        <v>36</v>
      </c>
      <c r="AF41" s="135" t="s">
        <v>37</v>
      </c>
      <c r="AH41" s="118"/>
      <c r="AI41" s="118"/>
      <c r="AJ41" s="118"/>
      <c r="AL41" s="118"/>
      <c r="AM41" s="118"/>
      <c r="AN41" s="118"/>
    </row>
    <row r="42" spans="1:40" s="93" customFormat="1" ht="39.950000000000003" customHeight="1" x14ac:dyDescent="0.25">
      <c r="A42" s="110">
        <v>24</v>
      </c>
      <c r="B42" s="110"/>
      <c r="C42" s="140" t="s">
        <v>56</v>
      </c>
      <c r="D42" s="140" t="s">
        <v>2012</v>
      </c>
      <c r="E42" s="141" t="s">
        <v>2013</v>
      </c>
      <c r="F42" s="142" t="str">
        <f>DATEDIF(R42,S42,"y") + DATEDIF(V42,W42,"y") + DATEDIF(X42,Y42,"y") + SUM(AH42) &amp; " años " &amp; DATEDIF(R42,S42,"ym") + DATEDIF(V42,W42,"ym") + DATEDIF(X42,Y42,"ym") + SUM(AI42) - SUM(AM42) &amp; " meses " &amp; DATEDIF(R42,S42,"md") + DATEDIF(V42,W42,"md") + DATEDIF(X42,Y42,"md") - SUM(AN42) &amp; " días"</f>
        <v>34 años 9 meses 2 días</v>
      </c>
      <c r="G42" s="143">
        <v>1</v>
      </c>
      <c r="H42" s="110" t="str">
        <f t="shared" si="10"/>
        <v>52 años 7 meses 6 días</v>
      </c>
      <c r="I42" s="110" t="str">
        <f t="shared" si="11"/>
        <v>4 años 1 meses 5 días</v>
      </c>
      <c r="J42" s="195"/>
      <c r="K42" s="196"/>
      <c r="L42" s="197"/>
      <c r="M42" s="144">
        <f>34575.78</f>
        <v>34575.78</v>
      </c>
      <c r="N42" s="115">
        <f>M42*G42</f>
        <v>34575.78</v>
      </c>
      <c r="O42" s="134"/>
      <c r="P42" s="134" t="s">
        <v>42</v>
      </c>
      <c r="Q42" s="115" t="s">
        <v>336</v>
      </c>
      <c r="R42" s="145">
        <v>32689</v>
      </c>
      <c r="S42" s="146">
        <v>45383</v>
      </c>
      <c r="T42" s="145">
        <v>26171</v>
      </c>
      <c r="U42" s="145">
        <v>43888</v>
      </c>
      <c r="V42" s="116"/>
      <c r="W42" s="116"/>
      <c r="X42" s="116"/>
      <c r="Y42" s="116"/>
      <c r="Z42" s="52"/>
      <c r="AA42" s="52"/>
      <c r="AB42" s="52"/>
      <c r="AC42" s="117"/>
      <c r="AD42" s="118" t="s">
        <v>1032</v>
      </c>
      <c r="AE42" s="119" t="s">
        <v>36</v>
      </c>
      <c r="AF42" s="135" t="s">
        <v>37</v>
      </c>
      <c r="AH42" s="118"/>
      <c r="AI42" s="118"/>
      <c r="AJ42" s="118"/>
      <c r="AL42" s="118"/>
      <c r="AM42" s="118"/>
      <c r="AN42" s="118"/>
    </row>
    <row r="43" spans="1:40" s="93" customFormat="1" ht="39.950000000000003" customHeight="1" x14ac:dyDescent="0.25">
      <c r="A43" s="110">
        <v>25</v>
      </c>
      <c r="B43" s="139"/>
      <c r="C43" s="140" t="s">
        <v>56</v>
      </c>
      <c r="D43" s="140" t="s">
        <v>2014</v>
      </c>
      <c r="E43" s="141" t="s">
        <v>2015</v>
      </c>
      <c r="F43" s="142" t="str">
        <f t="shared" si="9"/>
        <v>29 años 10 meses 14 días</v>
      </c>
      <c r="G43" s="143">
        <v>0.85</v>
      </c>
      <c r="H43" s="110" t="str">
        <f t="shared" si="10"/>
        <v>47 años 3 meses 0 días</v>
      </c>
      <c r="I43" s="110" t="str">
        <f t="shared" si="11"/>
        <v>6 años 1 meses 5 días</v>
      </c>
      <c r="J43" s="195"/>
      <c r="K43" s="196"/>
      <c r="L43" s="197"/>
      <c r="M43" s="144">
        <v>35615.53</v>
      </c>
      <c r="N43" s="115">
        <f t="shared" si="12"/>
        <v>30273.200499999999</v>
      </c>
      <c r="O43" s="134"/>
      <c r="P43" s="134" t="s">
        <v>42</v>
      </c>
      <c r="Q43" s="115" t="s">
        <v>336</v>
      </c>
      <c r="R43" s="145">
        <v>35688</v>
      </c>
      <c r="S43" s="146">
        <v>45383</v>
      </c>
      <c r="T43" s="145">
        <v>28126</v>
      </c>
      <c r="U43" s="145">
        <v>43158</v>
      </c>
      <c r="V43" s="116">
        <v>32370</v>
      </c>
      <c r="W43" s="116">
        <v>33584</v>
      </c>
      <c r="X43" s="116"/>
      <c r="Y43" s="116"/>
      <c r="Z43" s="52"/>
      <c r="AA43" s="52"/>
      <c r="AB43" s="52"/>
      <c r="AC43" s="117"/>
      <c r="AD43" s="118" t="s">
        <v>129</v>
      </c>
      <c r="AE43" s="119" t="s">
        <v>36</v>
      </c>
      <c r="AF43" s="135" t="s">
        <v>37</v>
      </c>
      <c r="AH43" s="118"/>
      <c r="AI43" s="118">
        <v>1</v>
      </c>
      <c r="AJ43" s="118"/>
      <c r="AL43" s="118"/>
      <c r="AM43" s="118"/>
      <c r="AN43" s="118">
        <v>30</v>
      </c>
    </row>
    <row r="44" spans="1:40" s="93" customFormat="1" ht="39.950000000000003" customHeight="1" x14ac:dyDescent="0.25">
      <c r="A44" s="110">
        <v>26</v>
      </c>
      <c r="B44" s="139"/>
      <c r="C44" s="140" t="s">
        <v>87</v>
      </c>
      <c r="D44" s="140" t="s">
        <v>2016</v>
      </c>
      <c r="E44" s="141" t="s">
        <v>2017</v>
      </c>
      <c r="F44" s="142" t="str">
        <f t="shared" ref="F44:F52" si="13">DATEDIF(R44,S44,"y") + DATEDIF(V44,W44,"y") + DATEDIF(X44,Y44,"y") + SUM(AH44) &amp; " años " &amp; DATEDIF(R44,S44,"ym") + DATEDIF(V44,W44,"ym") + DATEDIF(X44,Y44,"ym") + SUM(AI44) - SUM(AM44) &amp; " meses " &amp; DATEDIF(R44,S44,"md") + DATEDIF(V44,W44,"md") + DATEDIF(X44,Y44,"md") - SUM(AN44) &amp; " días"</f>
        <v>31 años 2 meses 27 días</v>
      </c>
      <c r="G44" s="143">
        <v>0.88</v>
      </c>
      <c r="H44" s="110" t="str">
        <f>DATEDIF(T44,S44,"y") &amp; " años " &amp; DATEDIF(T44,S44,"ym") &amp; " meses " &amp; DATEDIF(T44,S44,"md") &amp; " días"</f>
        <v>51 años 5 meses 15 días</v>
      </c>
      <c r="I44" s="110" t="str">
        <f>DATEDIF(U44,S44,"y") &amp; " años " &amp; DATEDIF(U44,S44,"ym") &amp; " meses " &amp; DATEDIF(U44,S44,"md") &amp; " días"</f>
        <v>1 años 1 meses 5 días</v>
      </c>
      <c r="J44" s="195"/>
      <c r="K44" s="196"/>
      <c r="L44" s="197"/>
      <c r="M44" s="144">
        <v>32541.77</v>
      </c>
      <c r="N44" s="115">
        <f t="shared" si="12"/>
        <v>28636.757600000001</v>
      </c>
      <c r="O44" s="134"/>
      <c r="P44" s="134" t="s">
        <v>42</v>
      </c>
      <c r="Q44" s="115" t="s">
        <v>336</v>
      </c>
      <c r="R44" s="145">
        <v>33974</v>
      </c>
      <c r="S44" s="146">
        <v>45383</v>
      </c>
      <c r="T44" s="145">
        <v>26589</v>
      </c>
      <c r="U44" s="145">
        <v>44984</v>
      </c>
      <c r="V44" s="116"/>
      <c r="W44" s="116"/>
      <c r="X44" s="116"/>
      <c r="Y44" s="116"/>
      <c r="Z44" s="52"/>
      <c r="AA44" s="52"/>
      <c r="AB44" s="52"/>
      <c r="AC44" s="117"/>
      <c r="AD44" s="118" t="s">
        <v>293</v>
      </c>
      <c r="AE44" s="119" t="s">
        <v>36</v>
      </c>
      <c r="AF44" s="135" t="s">
        <v>37</v>
      </c>
      <c r="AH44" s="118"/>
      <c r="AI44" s="118"/>
      <c r="AJ44" s="118"/>
      <c r="AL44" s="118"/>
      <c r="AM44" s="118"/>
      <c r="AN44" s="118"/>
    </row>
    <row r="45" spans="1:40" s="93" customFormat="1" ht="39.950000000000003" customHeight="1" x14ac:dyDescent="0.25">
      <c r="A45" s="110">
        <v>27</v>
      </c>
      <c r="B45" s="139"/>
      <c r="C45" s="140" t="s">
        <v>87</v>
      </c>
      <c r="D45" s="140" t="s">
        <v>2018</v>
      </c>
      <c r="E45" s="141" t="s">
        <v>2019</v>
      </c>
      <c r="F45" s="142" t="str">
        <f t="shared" si="13"/>
        <v>31 años 6 meses 0 días</v>
      </c>
      <c r="G45" s="143">
        <v>0.91</v>
      </c>
      <c r="H45" s="110" t="str">
        <f t="shared" ref="H45:H51" si="14">DATEDIF(T45,S45,"y") &amp; " años " &amp; DATEDIF(T45,S45,"ym") &amp; " meses " &amp; DATEDIF(T45,S45,"md") &amp; " días"</f>
        <v>49 años 1 meses 19 días</v>
      </c>
      <c r="I45" s="110" t="str">
        <f t="shared" ref="I45:I51" si="15">DATEDIF(U45,S45,"y") &amp; " años " &amp; DATEDIF(U45,S45,"ym") &amp; " meses " &amp; DATEDIF(U45,S45,"md") &amp; " días"</f>
        <v>7 años 1 meses 0 días</v>
      </c>
      <c r="J45" s="195"/>
      <c r="K45" s="196"/>
      <c r="L45" s="197"/>
      <c r="M45" s="144">
        <f>34575.77</f>
        <v>34575.769999999997</v>
      </c>
      <c r="N45" s="115">
        <f t="shared" si="12"/>
        <v>31463.950699999998</v>
      </c>
      <c r="O45" s="134"/>
      <c r="P45" s="134" t="s">
        <v>42</v>
      </c>
      <c r="Q45" s="115" t="s">
        <v>336</v>
      </c>
      <c r="R45" s="145">
        <v>35339</v>
      </c>
      <c r="S45" s="146">
        <v>45383</v>
      </c>
      <c r="T45" s="145">
        <v>27438</v>
      </c>
      <c r="U45" s="145">
        <v>42795</v>
      </c>
      <c r="V45" s="116">
        <v>33664</v>
      </c>
      <c r="W45" s="116">
        <v>35125</v>
      </c>
      <c r="X45" s="116"/>
      <c r="Y45" s="116"/>
      <c r="Z45" s="52"/>
      <c r="AA45" s="52"/>
      <c r="AB45" s="52"/>
      <c r="AC45" s="117"/>
      <c r="AD45" s="118" t="s">
        <v>190</v>
      </c>
      <c r="AE45" s="119" t="s">
        <v>36</v>
      </c>
      <c r="AF45" s="135" t="s">
        <v>37</v>
      </c>
      <c r="AH45" s="118"/>
      <c r="AI45" s="118"/>
      <c r="AJ45" s="118"/>
      <c r="AL45" s="118"/>
      <c r="AM45" s="118"/>
      <c r="AN45" s="118"/>
    </row>
    <row r="46" spans="1:40" s="93" customFormat="1" ht="39.950000000000003" customHeight="1" x14ac:dyDescent="0.25">
      <c r="A46" s="110">
        <v>28</v>
      </c>
      <c r="B46" s="139"/>
      <c r="C46" s="140" t="s">
        <v>87</v>
      </c>
      <c r="D46" s="140" t="s">
        <v>2020</v>
      </c>
      <c r="E46" s="141" t="s">
        <v>2021</v>
      </c>
      <c r="F46" s="142" t="str">
        <f t="shared" si="13"/>
        <v>30 años 2 meses 0 días</v>
      </c>
      <c r="G46" s="143">
        <v>0.85</v>
      </c>
      <c r="H46" s="110" t="str">
        <f t="shared" si="14"/>
        <v>53 años 0 meses 4 días</v>
      </c>
      <c r="I46" s="110" t="str">
        <f t="shared" si="15"/>
        <v>4 años 1 meses 5 días</v>
      </c>
      <c r="J46" s="195"/>
      <c r="K46" s="196"/>
      <c r="L46" s="197"/>
      <c r="M46" s="144">
        <f>32541.78</f>
        <v>32541.78</v>
      </c>
      <c r="N46" s="115">
        <f t="shared" si="12"/>
        <v>27660.512999999999</v>
      </c>
      <c r="O46" s="134"/>
      <c r="P46" s="134" t="s">
        <v>42</v>
      </c>
      <c r="Q46" s="115" t="s">
        <v>336</v>
      </c>
      <c r="R46" s="145">
        <v>34366</v>
      </c>
      <c r="S46" s="146">
        <v>45383</v>
      </c>
      <c r="T46" s="145">
        <v>26020</v>
      </c>
      <c r="U46" s="145">
        <v>43888</v>
      </c>
      <c r="V46" s="116"/>
      <c r="W46" s="116"/>
      <c r="X46" s="116"/>
      <c r="Y46" s="116"/>
      <c r="Z46" s="52"/>
      <c r="AA46" s="52"/>
      <c r="AB46" s="52"/>
      <c r="AC46" s="117"/>
      <c r="AD46" s="118" t="s">
        <v>1032</v>
      </c>
      <c r="AE46" s="119" t="s">
        <v>36</v>
      </c>
      <c r="AF46" s="135" t="s">
        <v>37</v>
      </c>
      <c r="AH46" s="118"/>
      <c r="AI46" s="118"/>
      <c r="AJ46" s="118"/>
      <c r="AL46" s="118"/>
      <c r="AM46" s="118"/>
      <c r="AN46" s="118"/>
    </row>
    <row r="47" spans="1:40" s="93" customFormat="1" ht="39.950000000000003" customHeight="1" x14ac:dyDescent="0.25">
      <c r="A47" s="110">
        <v>29</v>
      </c>
      <c r="B47" s="139"/>
      <c r="C47" s="140" t="s">
        <v>87</v>
      </c>
      <c r="D47" s="140" t="s">
        <v>2022</v>
      </c>
      <c r="E47" s="141" t="s">
        <v>2023</v>
      </c>
      <c r="F47" s="142" t="str">
        <f t="shared" si="13"/>
        <v>30 años 7 meses 0 días</v>
      </c>
      <c r="G47" s="143">
        <v>0.88</v>
      </c>
      <c r="H47" s="110" t="str">
        <f t="shared" si="14"/>
        <v>51 años 5 meses 8 días</v>
      </c>
      <c r="I47" s="110" t="str">
        <f t="shared" si="15"/>
        <v>7 años 1 meses 0 días</v>
      </c>
      <c r="J47" s="195"/>
      <c r="K47" s="196"/>
      <c r="L47" s="197"/>
      <c r="M47" s="144">
        <f>34575.77+8000</f>
        <v>42575.77</v>
      </c>
      <c r="N47" s="115">
        <f t="shared" si="12"/>
        <v>37466.677599999995</v>
      </c>
      <c r="O47" s="134"/>
      <c r="P47" s="134" t="s">
        <v>42</v>
      </c>
      <c r="Q47" s="115" t="s">
        <v>336</v>
      </c>
      <c r="R47" s="145">
        <v>34213</v>
      </c>
      <c r="S47" s="146">
        <v>45383</v>
      </c>
      <c r="T47" s="145">
        <v>26596</v>
      </c>
      <c r="U47" s="145">
        <v>42795</v>
      </c>
      <c r="V47" s="116"/>
      <c r="W47" s="116"/>
      <c r="X47" s="116"/>
      <c r="Y47" s="116"/>
      <c r="Z47" s="52" t="s">
        <v>1973</v>
      </c>
      <c r="AA47" s="52"/>
      <c r="AB47" s="52"/>
      <c r="AC47" s="117"/>
      <c r="AD47" s="118" t="s">
        <v>190</v>
      </c>
      <c r="AE47" s="119" t="s">
        <v>36</v>
      </c>
      <c r="AF47" s="135" t="s">
        <v>37</v>
      </c>
      <c r="AH47" s="118"/>
      <c r="AI47" s="118"/>
      <c r="AJ47" s="118"/>
      <c r="AL47" s="118"/>
      <c r="AM47" s="118"/>
      <c r="AN47" s="118"/>
    </row>
    <row r="48" spans="1:40" s="93" customFormat="1" ht="39.950000000000003" customHeight="1" x14ac:dyDescent="0.25">
      <c r="A48" s="110">
        <v>30</v>
      </c>
      <c r="B48" s="139"/>
      <c r="C48" s="140" t="s">
        <v>87</v>
      </c>
      <c r="D48" s="140" t="s">
        <v>2024</v>
      </c>
      <c r="E48" s="141" t="s">
        <v>2025</v>
      </c>
      <c r="F48" s="142" t="str">
        <f t="shared" si="13"/>
        <v>21 años 10 meses 0 días</v>
      </c>
      <c r="G48" s="143">
        <v>0.65</v>
      </c>
      <c r="H48" s="110" t="str">
        <f t="shared" si="14"/>
        <v>40 años 1 meses 22 días</v>
      </c>
      <c r="I48" s="110" t="str">
        <f t="shared" si="15"/>
        <v>8 años 1 meses 0 días</v>
      </c>
      <c r="J48" s="195"/>
      <c r="K48" s="196"/>
      <c r="L48" s="197"/>
      <c r="M48" s="144">
        <v>34575.78</v>
      </c>
      <c r="N48" s="115">
        <f t="shared" si="12"/>
        <v>22474.257000000001</v>
      </c>
      <c r="O48" s="134"/>
      <c r="P48" s="134" t="s">
        <v>42</v>
      </c>
      <c r="Q48" s="115" t="s">
        <v>336</v>
      </c>
      <c r="R48" s="145">
        <v>37408</v>
      </c>
      <c r="S48" s="146">
        <v>45383</v>
      </c>
      <c r="T48" s="145">
        <v>30722</v>
      </c>
      <c r="U48" s="145">
        <v>42430</v>
      </c>
      <c r="V48" s="116"/>
      <c r="W48" s="116"/>
      <c r="X48" s="116"/>
      <c r="Y48" s="116"/>
      <c r="Z48" s="52"/>
      <c r="AA48" s="52"/>
      <c r="AB48" s="52"/>
      <c r="AC48" s="117"/>
      <c r="AD48" s="118" t="s">
        <v>48</v>
      </c>
      <c r="AE48" s="119" t="s">
        <v>36</v>
      </c>
      <c r="AF48" s="135" t="s">
        <v>37</v>
      </c>
      <c r="AH48" s="118"/>
      <c r="AI48" s="118"/>
      <c r="AJ48" s="118"/>
      <c r="AL48" s="118"/>
      <c r="AM48" s="118"/>
      <c r="AN48" s="118"/>
    </row>
    <row r="49" spans="1:40" s="93" customFormat="1" ht="39.950000000000003" customHeight="1" x14ac:dyDescent="0.25">
      <c r="A49" s="110">
        <v>31</v>
      </c>
      <c r="B49" s="139"/>
      <c r="C49" s="140" t="s">
        <v>87</v>
      </c>
      <c r="D49" s="140" t="s">
        <v>2026</v>
      </c>
      <c r="E49" s="141" t="s">
        <v>2027</v>
      </c>
      <c r="F49" s="142" t="str">
        <f t="shared" si="13"/>
        <v>30 años 2 meses 0 días</v>
      </c>
      <c r="G49" s="143">
        <v>0.85</v>
      </c>
      <c r="H49" s="110" t="str">
        <f t="shared" si="14"/>
        <v>48 años 2 meses 28 días</v>
      </c>
      <c r="I49" s="110" t="str">
        <f t="shared" si="15"/>
        <v>7 años 1 meses 0 días</v>
      </c>
      <c r="J49" s="195"/>
      <c r="K49" s="196"/>
      <c r="L49" s="197"/>
      <c r="M49" s="144">
        <v>34575.78</v>
      </c>
      <c r="N49" s="115">
        <f t="shared" si="12"/>
        <v>29389.412999999997</v>
      </c>
      <c r="O49" s="134"/>
      <c r="P49" s="134" t="s">
        <v>42</v>
      </c>
      <c r="Q49" s="115" t="s">
        <v>336</v>
      </c>
      <c r="R49" s="145">
        <v>34366</v>
      </c>
      <c r="S49" s="146">
        <v>45383</v>
      </c>
      <c r="T49" s="145">
        <v>27763</v>
      </c>
      <c r="U49" s="145">
        <v>42795</v>
      </c>
      <c r="V49" s="116"/>
      <c r="W49" s="116"/>
      <c r="X49" s="116"/>
      <c r="Y49" s="116"/>
      <c r="Z49" s="52"/>
      <c r="AA49" s="52"/>
      <c r="AB49" s="52"/>
      <c r="AC49" s="117"/>
      <c r="AD49" s="118" t="s">
        <v>293</v>
      </c>
      <c r="AE49" s="119" t="s">
        <v>36</v>
      </c>
      <c r="AF49" s="135" t="s">
        <v>37</v>
      </c>
      <c r="AH49" s="118"/>
      <c r="AI49" s="118"/>
      <c r="AJ49" s="118"/>
      <c r="AL49" s="118"/>
      <c r="AM49" s="118"/>
      <c r="AN49" s="118"/>
    </row>
    <row r="50" spans="1:40" s="93" customFormat="1" ht="39.950000000000003" customHeight="1" x14ac:dyDescent="0.25">
      <c r="A50" s="110">
        <v>32</v>
      </c>
      <c r="B50" s="139"/>
      <c r="C50" s="140" t="s">
        <v>87</v>
      </c>
      <c r="D50" s="140" t="s">
        <v>2028</v>
      </c>
      <c r="E50" s="141" t="s">
        <v>2029</v>
      </c>
      <c r="F50" s="142" t="str">
        <f t="shared" si="13"/>
        <v>31 años 2 meses 0 días</v>
      </c>
      <c r="G50" s="143">
        <v>0.88</v>
      </c>
      <c r="H50" s="110" t="str">
        <f t="shared" si="14"/>
        <v>49 años 6 meses 22 días</v>
      </c>
      <c r="I50" s="110" t="str">
        <f t="shared" si="15"/>
        <v>4 años 1 meses 5 días</v>
      </c>
      <c r="J50" s="195"/>
      <c r="K50" s="196"/>
      <c r="L50" s="197"/>
      <c r="M50" s="144">
        <v>32541.77</v>
      </c>
      <c r="N50" s="115">
        <f t="shared" si="12"/>
        <v>28636.757600000001</v>
      </c>
      <c r="O50" s="134"/>
      <c r="P50" s="134" t="s">
        <v>42</v>
      </c>
      <c r="Q50" s="115" t="s">
        <v>336</v>
      </c>
      <c r="R50" s="145">
        <v>34001</v>
      </c>
      <c r="S50" s="146">
        <v>45383</v>
      </c>
      <c r="T50" s="145">
        <v>27282</v>
      </c>
      <c r="U50" s="145">
        <v>43888</v>
      </c>
      <c r="V50" s="116"/>
      <c r="W50" s="116"/>
      <c r="X50" s="116"/>
      <c r="Y50" s="116"/>
      <c r="Z50" s="52"/>
      <c r="AA50" s="52"/>
      <c r="AB50" s="52"/>
      <c r="AC50" s="117"/>
      <c r="AD50" s="118" t="s">
        <v>190</v>
      </c>
      <c r="AE50" s="119" t="s">
        <v>36</v>
      </c>
      <c r="AF50" s="135" t="s">
        <v>37</v>
      </c>
      <c r="AH50" s="118"/>
      <c r="AI50" s="118"/>
      <c r="AJ50" s="118"/>
      <c r="AL50" s="118"/>
      <c r="AM50" s="118"/>
      <c r="AN50" s="118"/>
    </row>
    <row r="51" spans="1:40" s="93" customFormat="1" ht="39.950000000000003" customHeight="1" x14ac:dyDescent="0.25">
      <c r="A51" s="110">
        <v>33</v>
      </c>
      <c r="B51" s="139"/>
      <c r="C51" s="140" t="s">
        <v>87</v>
      </c>
      <c r="D51" s="140" t="s">
        <v>2030</v>
      </c>
      <c r="E51" s="141" t="s">
        <v>2031</v>
      </c>
      <c r="F51" s="142" t="str">
        <f t="shared" si="13"/>
        <v>23 años 11 meses 5 días</v>
      </c>
      <c r="G51" s="143">
        <v>0.7</v>
      </c>
      <c r="H51" s="110" t="str">
        <f t="shared" si="14"/>
        <v>46 años 5 meses 0 días</v>
      </c>
      <c r="I51" s="110" t="str">
        <f t="shared" si="15"/>
        <v>7 años 1 meses 0 días</v>
      </c>
      <c r="J51" s="195"/>
      <c r="K51" s="196"/>
      <c r="L51" s="197"/>
      <c r="M51" s="144">
        <v>34575.769999999997</v>
      </c>
      <c r="N51" s="115">
        <f t="shared" si="12"/>
        <v>24203.038999999997</v>
      </c>
      <c r="O51" s="134"/>
      <c r="P51" s="134" t="s">
        <v>42</v>
      </c>
      <c r="Q51" s="115" t="s">
        <v>336</v>
      </c>
      <c r="R51" s="145">
        <v>36831</v>
      </c>
      <c r="S51" s="146">
        <v>45383</v>
      </c>
      <c r="T51" s="145">
        <v>28430</v>
      </c>
      <c r="U51" s="145">
        <v>42795</v>
      </c>
      <c r="V51" s="116">
        <v>36164</v>
      </c>
      <c r="W51" s="116">
        <v>36350</v>
      </c>
      <c r="X51" s="116"/>
      <c r="Y51" s="116"/>
      <c r="Z51" s="52"/>
      <c r="AA51" s="52"/>
      <c r="AB51" s="52"/>
      <c r="AC51" s="117"/>
      <c r="AD51" s="118" t="s">
        <v>190</v>
      </c>
      <c r="AE51" s="119" t="s">
        <v>36</v>
      </c>
      <c r="AF51" s="135" t="s">
        <v>37</v>
      </c>
      <c r="AH51" s="118"/>
      <c r="AI51" s="118"/>
      <c r="AJ51" s="118"/>
      <c r="AL51" s="118"/>
      <c r="AM51" s="118"/>
      <c r="AN51" s="118"/>
    </row>
    <row r="52" spans="1:40" s="93" customFormat="1" ht="39.950000000000003" customHeight="1" x14ac:dyDescent="0.25">
      <c r="A52" s="110">
        <v>34</v>
      </c>
      <c r="B52" s="139"/>
      <c r="C52" s="140" t="s">
        <v>87</v>
      </c>
      <c r="D52" s="140" t="s">
        <v>2032</v>
      </c>
      <c r="E52" s="141" t="s">
        <v>2033</v>
      </c>
      <c r="F52" s="142" t="str">
        <f t="shared" si="13"/>
        <v>28 años 1 meses 0 días</v>
      </c>
      <c r="G52" s="143">
        <v>0.8</v>
      </c>
      <c r="H52" s="110" t="str">
        <f>DATEDIF(T52,S52,"y") &amp; " años " &amp; DATEDIF(T52,S52,"ym") &amp; " meses " &amp; DATEDIF(T52,S52,"md") &amp; " días"</f>
        <v>46 años 4 meses 27 días</v>
      </c>
      <c r="I52" s="110" t="str">
        <f>DATEDIF(U52,S52,"y") &amp; " años " &amp; DATEDIF(U52,S52,"ym") &amp; " meses " &amp; DATEDIF(U52,S52,"md") &amp; " días"</f>
        <v>6 años 1 meses 5 días</v>
      </c>
      <c r="J52" s="195"/>
      <c r="K52" s="196"/>
      <c r="L52" s="197"/>
      <c r="M52" s="144">
        <v>34575.78</v>
      </c>
      <c r="N52" s="115">
        <f t="shared" si="12"/>
        <v>27660.624</v>
      </c>
      <c r="O52" s="134"/>
      <c r="P52" s="134" t="s">
        <v>42</v>
      </c>
      <c r="Q52" s="115" t="s">
        <v>336</v>
      </c>
      <c r="R52" s="145">
        <v>35125</v>
      </c>
      <c r="S52" s="146">
        <v>45383</v>
      </c>
      <c r="T52" s="145">
        <v>28434</v>
      </c>
      <c r="U52" s="145">
        <v>43158</v>
      </c>
      <c r="V52" s="116"/>
      <c r="W52" s="116"/>
      <c r="X52" s="116"/>
      <c r="Y52" s="116"/>
      <c r="Z52" s="52"/>
      <c r="AA52" s="52"/>
      <c r="AB52" s="52"/>
      <c r="AC52" s="117"/>
      <c r="AD52" s="118" t="s">
        <v>1032</v>
      </c>
      <c r="AE52" s="119" t="s">
        <v>36</v>
      </c>
      <c r="AF52" s="135" t="s">
        <v>37</v>
      </c>
      <c r="AH52" s="118"/>
      <c r="AI52" s="118"/>
      <c r="AJ52" s="118"/>
      <c r="AL52" s="118"/>
      <c r="AM52" s="118"/>
      <c r="AN52" s="118"/>
    </row>
    <row r="53" spans="1:40" s="93" customFormat="1" ht="39.950000000000003" customHeight="1" x14ac:dyDescent="0.25">
      <c r="A53" s="110">
        <v>35</v>
      </c>
      <c r="B53" s="139"/>
      <c r="C53" s="140" t="s">
        <v>122</v>
      </c>
      <c r="D53" s="140" t="s">
        <v>2034</v>
      </c>
      <c r="E53" s="141" t="s">
        <v>2035</v>
      </c>
      <c r="F53" s="142" t="str">
        <f t="shared" ref="F53:F66" si="16">DATEDIF(R53,S53,"y") + DATEDIF(V53,W53,"y") + DATEDIF(X53,Y53,"y") + SUM(AH53) &amp; " años " &amp; DATEDIF(R53,S53,"ym") + DATEDIF(V53,W53,"ym") + DATEDIF(X53,Y53,"ym") + SUM(AI53) - SUM(AM53) &amp; " meses " &amp; DATEDIF(R53,S53,"md") + DATEDIF(V53,W53,"md") + DATEDIF(X53,Y53,"md") - SUM(AN53) &amp; " días"</f>
        <v>22 años 1 meses 0 días</v>
      </c>
      <c r="G53" s="143">
        <v>0.65</v>
      </c>
      <c r="H53" s="110" t="str">
        <f>DATEDIF(T53,S53,"y") &amp; " años " &amp; DATEDIF(T53,S53,"ym") &amp; " meses " &amp; DATEDIF(T53,S53,"md") &amp; " días"</f>
        <v>42 años 11 meses 17 días</v>
      </c>
      <c r="I53" s="110" t="str">
        <f>DATEDIF(U53,S53,"y") &amp; " años " &amp; DATEDIF(U53,S53,"ym") &amp; " meses " &amp; DATEDIF(U53,S53,"md") &amp; " días"</f>
        <v>9 años 1 meses 5 días</v>
      </c>
      <c r="J53" s="195"/>
      <c r="K53" s="196"/>
      <c r="L53" s="197"/>
      <c r="M53" s="144">
        <v>32541.78</v>
      </c>
      <c r="N53" s="115">
        <f t="shared" si="12"/>
        <v>21152.156999999999</v>
      </c>
      <c r="O53" s="134"/>
      <c r="P53" s="134" t="s">
        <v>42</v>
      </c>
      <c r="Q53" s="115" t="s">
        <v>336</v>
      </c>
      <c r="R53" s="145">
        <v>37316</v>
      </c>
      <c r="S53" s="146">
        <v>45383</v>
      </c>
      <c r="T53" s="145">
        <v>29691</v>
      </c>
      <c r="U53" s="145">
        <v>42062</v>
      </c>
      <c r="V53" s="116"/>
      <c r="W53" s="116"/>
      <c r="X53" s="116"/>
      <c r="Y53" s="116"/>
      <c r="Z53" s="52"/>
      <c r="AA53" s="52"/>
      <c r="AB53" s="52"/>
      <c r="AC53" s="117"/>
      <c r="AD53" s="118" t="s">
        <v>1032</v>
      </c>
      <c r="AE53" s="119" t="s">
        <v>36</v>
      </c>
      <c r="AF53" s="135" t="s">
        <v>37</v>
      </c>
      <c r="AH53" s="118"/>
      <c r="AI53" s="118"/>
      <c r="AJ53" s="118"/>
      <c r="AL53" s="118"/>
      <c r="AM53" s="118"/>
      <c r="AN53" s="118"/>
    </row>
    <row r="54" spans="1:40" s="93" customFormat="1" ht="39.950000000000003" customHeight="1" x14ac:dyDescent="0.25">
      <c r="A54" s="110">
        <v>36</v>
      </c>
      <c r="B54" s="139"/>
      <c r="C54" s="140" t="s">
        <v>122</v>
      </c>
      <c r="D54" s="140" t="s">
        <v>2036</v>
      </c>
      <c r="E54" s="141" t="s">
        <v>2037</v>
      </c>
      <c r="F54" s="142" t="str">
        <f t="shared" si="16"/>
        <v>23 años 11 meses 0 días</v>
      </c>
      <c r="G54" s="143">
        <v>0.7</v>
      </c>
      <c r="H54" s="110" t="str">
        <f t="shared" ref="H54:H66" si="17">DATEDIF(T54,S54,"y") &amp; " años " &amp; DATEDIF(T54,S54,"ym") &amp; " meses " &amp; DATEDIF(T54,S54,"md") &amp; " días"</f>
        <v>57 años 7 meses 27 días</v>
      </c>
      <c r="I54" s="110" t="str">
        <f t="shared" ref="I54:I66" si="18">DATEDIF(U54,S54,"y") &amp; " años " &amp; DATEDIF(U54,S54,"ym") &amp; " meses " &amp; DATEDIF(U54,S54,"md") &amp; " días"</f>
        <v>6 años 1 meses 5 días</v>
      </c>
      <c r="J54" s="195"/>
      <c r="K54" s="196"/>
      <c r="L54" s="197"/>
      <c r="M54" s="144">
        <v>32541.77</v>
      </c>
      <c r="N54" s="115">
        <f t="shared" si="12"/>
        <v>22779.238999999998</v>
      </c>
      <c r="O54" s="134"/>
      <c r="P54" s="134" t="s">
        <v>42</v>
      </c>
      <c r="Q54" s="115" t="s">
        <v>336</v>
      </c>
      <c r="R54" s="145">
        <v>36647</v>
      </c>
      <c r="S54" s="146">
        <v>45383</v>
      </c>
      <c r="T54" s="145">
        <v>24324</v>
      </c>
      <c r="U54" s="145">
        <v>43158</v>
      </c>
      <c r="V54" s="116"/>
      <c r="W54" s="116"/>
      <c r="X54" s="116"/>
      <c r="Y54" s="116"/>
      <c r="Z54" s="52"/>
      <c r="AA54" s="52"/>
      <c r="AB54" s="52"/>
      <c r="AC54" s="117"/>
      <c r="AD54" s="118" t="s">
        <v>35</v>
      </c>
      <c r="AE54" s="119" t="s">
        <v>36</v>
      </c>
      <c r="AF54" s="135" t="s">
        <v>37</v>
      </c>
      <c r="AH54" s="118"/>
      <c r="AI54" s="118"/>
      <c r="AJ54" s="118"/>
      <c r="AL54" s="118"/>
      <c r="AM54" s="118"/>
      <c r="AN54" s="118"/>
    </row>
    <row r="55" spans="1:40" s="93" customFormat="1" ht="39.950000000000003" customHeight="1" x14ac:dyDescent="0.25">
      <c r="A55" s="110">
        <v>37</v>
      </c>
      <c r="B55" s="139"/>
      <c r="C55" s="140" t="s">
        <v>122</v>
      </c>
      <c r="D55" s="140" t="s">
        <v>2038</v>
      </c>
      <c r="E55" s="141" t="s">
        <v>2039</v>
      </c>
      <c r="F55" s="142" t="str">
        <f t="shared" si="16"/>
        <v>25 años 9 meses 0 días</v>
      </c>
      <c r="G55" s="143">
        <v>0.75</v>
      </c>
      <c r="H55" s="110" t="str">
        <f t="shared" si="17"/>
        <v>46 años 4 meses 29 días</v>
      </c>
      <c r="I55" s="110" t="str">
        <f t="shared" si="18"/>
        <v>6 años 1 meses 5 días</v>
      </c>
      <c r="J55" s="195"/>
      <c r="K55" s="196"/>
      <c r="L55" s="197"/>
      <c r="M55" s="144">
        <v>32541.77</v>
      </c>
      <c r="N55" s="115">
        <f t="shared" si="12"/>
        <v>24406.327499999999</v>
      </c>
      <c r="O55" s="134"/>
      <c r="P55" s="134" t="s">
        <v>42</v>
      </c>
      <c r="Q55" s="115" t="s">
        <v>336</v>
      </c>
      <c r="R55" s="145">
        <v>35977</v>
      </c>
      <c r="S55" s="146">
        <v>45383</v>
      </c>
      <c r="T55" s="145">
        <v>28432</v>
      </c>
      <c r="U55" s="145">
        <v>43158</v>
      </c>
      <c r="V55" s="116"/>
      <c r="W55" s="116"/>
      <c r="X55" s="116"/>
      <c r="Y55" s="116"/>
      <c r="Z55" s="52"/>
      <c r="AA55" s="52"/>
      <c r="AB55" s="52"/>
      <c r="AC55" s="117"/>
      <c r="AD55" s="118" t="s">
        <v>35</v>
      </c>
      <c r="AE55" s="119" t="s">
        <v>36</v>
      </c>
      <c r="AF55" s="135" t="s">
        <v>37</v>
      </c>
      <c r="AH55" s="118"/>
      <c r="AI55" s="118"/>
      <c r="AJ55" s="118"/>
      <c r="AL55" s="118"/>
      <c r="AM55" s="118"/>
      <c r="AN55" s="118"/>
    </row>
    <row r="56" spans="1:40" s="93" customFormat="1" ht="39.950000000000003" customHeight="1" x14ac:dyDescent="0.25">
      <c r="A56" s="110">
        <v>38</v>
      </c>
      <c r="B56" s="139"/>
      <c r="C56" s="140" t="s">
        <v>122</v>
      </c>
      <c r="D56" s="140" t="s">
        <v>2040</v>
      </c>
      <c r="E56" s="141" t="s">
        <v>2041</v>
      </c>
      <c r="F56" s="142" t="str">
        <f t="shared" si="16"/>
        <v>30 años 10 meses 0 días</v>
      </c>
      <c r="G56" s="143">
        <v>0.88</v>
      </c>
      <c r="H56" s="110" t="str">
        <f t="shared" si="17"/>
        <v>58 años 6 meses 21 días</v>
      </c>
      <c r="I56" s="110" t="str">
        <f t="shared" si="18"/>
        <v>9 años 1 meses 5 días</v>
      </c>
      <c r="J56" s="195"/>
      <c r="K56" s="196"/>
      <c r="L56" s="197"/>
      <c r="M56" s="144">
        <v>32541.78</v>
      </c>
      <c r="N56" s="115">
        <f t="shared" si="12"/>
        <v>28636.7664</v>
      </c>
      <c r="O56" s="134"/>
      <c r="P56" s="134" t="s">
        <v>42</v>
      </c>
      <c r="Q56" s="115" t="s">
        <v>336</v>
      </c>
      <c r="R56" s="145">
        <v>34121</v>
      </c>
      <c r="S56" s="146">
        <v>45383</v>
      </c>
      <c r="T56" s="145">
        <v>23996</v>
      </c>
      <c r="U56" s="145">
        <v>42062</v>
      </c>
      <c r="V56" s="116"/>
      <c r="W56" s="116"/>
      <c r="X56" s="116"/>
      <c r="Y56" s="116"/>
      <c r="Z56" s="52"/>
      <c r="AA56" s="52"/>
      <c r="AB56" s="52"/>
      <c r="AC56" s="117"/>
      <c r="AD56" s="118" t="s">
        <v>1032</v>
      </c>
      <c r="AE56" s="119" t="s">
        <v>36</v>
      </c>
      <c r="AF56" s="135" t="s">
        <v>37</v>
      </c>
      <c r="AH56" s="118"/>
      <c r="AI56" s="118"/>
      <c r="AJ56" s="118"/>
      <c r="AL56" s="118"/>
      <c r="AM56" s="118"/>
      <c r="AN56" s="118"/>
    </row>
    <row r="57" spans="1:40" s="93" customFormat="1" ht="39.950000000000003" customHeight="1" x14ac:dyDescent="0.25">
      <c r="A57" s="110">
        <v>39</v>
      </c>
      <c r="B57" s="139"/>
      <c r="C57" s="140" t="s">
        <v>122</v>
      </c>
      <c r="D57" s="140" t="s">
        <v>2042</v>
      </c>
      <c r="E57" s="141" t="s">
        <v>2043</v>
      </c>
      <c r="F57" s="142" t="str">
        <f t="shared" si="16"/>
        <v>21 años 10 meses 0 días</v>
      </c>
      <c r="G57" s="143">
        <v>0.65</v>
      </c>
      <c r="H57" s="110" t="str">
        <f t="shared" si="17"/>
        <v>43 años 8 meses 24 días</v>
      </c>
      <c r="I57" s="110" t="str">
        <f t="shared" si="18"/>
        <v>7 años 8 meses 20 días</v>
      </c>
      <c r="J57" s="195"/>
      <c r="K57" s="196"/>
      <c r="L57" s="197"/>
      <c r="M57" s="144">
        <f>32541.77+8000</f>
        <v>40541.770000000004</v>
      </c>
      <c r="N57" s="115">
        <f t="shared" si="12"/>
        <v>26352.150500000003</v>
      </c>
      <c r="O57" s="134"/>
      <c r="P57" s="134" t="s">
        <v>42</v>
      </c>
      <c r="Q57" s="115" t="s">
        <v>336</v>
      </c>
      <c r="R57" s="145">
        <v>37408</v>
      </c>
      <c r="S57" s="146">
        <v>45383</v>
      </c>
      <c r="T57" s="145">
        <v>29410</v>
      </c>
      <c r="U57" s="145">
        <v>42563</v>
      </c>
      <c r="V57" s="116"/>
      <c r="W57" s="116"/>
      <c r="X57" s="116"/>
      <c r="Y57" s="116"/>
      <c r="Z57" s="52" t="s">
        <v>1973</v>
      </c>
      <c r="AA57" s="52"/>
      <c r="AB57" s="52"/>
      <c r="AC57" s="117"/>
      <c r="AD57" s="118" t="s">
        <v>190</v>
      </c>
      <c r="AE57" s="119" t="s">
        <v>36</v>
      </c>
      <c r="AF57" s="135" t="s">
        <v>37</v>
      </c>
      <c r="AH57" s="118"/>
      <c r="AI57" s="118"/>
      <c r="AJ57" s="118"/>
      <c r="AL57" s="118"/>
      <c r="AM57" s="118"/>
      <c r="AN57" s="118"/>
    </row>
    <row r="58" spans="1:40" s="93" customFormat="1" ht="39.950000000000003" customHeight="1" x14ac:dyDescent="0.25">
      <c r="A58" s="110">
        <v>40</v>
      </c>
      <c r="B58" s="139"/>
      <c r="C58" s="140" t="s">
        <v>122</v>
      </c>
      <c r="D58" s="140" t="s">
        <v>2044</v>
      </c>
      <c r="E58" s="141" t="s">
        <v>2045</v>
      </c>
      <c r="F58" s="142" t="str">
        <f t="shared" si="16"/>
        <v>32 años 5 meses 16 días</v>
      </c>
      <c r="G58" s="143">
        <v>0.91</v>
      </c>
      <c r="H58" s="110" t="str">
        <f t="shared" si="17"/>
        <v>56 años 6 meses 26 días</v>
      </c>
      <c r="I58" s="110" t="str">
        <f t="shared" si="18"/>
        <v>12 años 7 meses 16 días</v>
      </c>
      <c r="J58" s="195" t="s">
        <v>13</v>
      </c>
      <c r="K58" s="196"/>
      <c r="L58" s="197"/>
      <c r="M58" s="144">
        <v>32541.78</v>
      </c>
      <c r="N58" s="115">
        <f t="shared" si="12"/>
        <v>29613.019799999998</v>
      </c>
      <c r="O58" s="134"/>
      <c r="P58" s="134"/>
      <c r="Q58" s="115" t="s">
        <v>336</v>
      </c>
      <c r="R58" s="145">
        <v>35674</v>
      </c>
      <c r="S58" s="146">
        <v>45383</v>
      </c>
      <c r="T58" s="145">
        <v>24721</v>
      </c>
      <c r="U58" s="145">
        <v>40771</v>
      </c>
      <c r="V58" s="116">
        <v>31594</v>
      </c>
      <c r="W58" s="116">
        <v>31747</v>
      </c>
      <c r="X58" s="116">
        <v>32387</v>
      </c>
      <c r="Y58" s="116">
        <v>34382</v>
      </c>
      <c r="Z58" s="52"/>
      <c r="AA58" s="52"/>
      <c r="AB58" s="52"/>
      <c r="AC58" s="117"/>
      <c r="AD58" s="118" t="s">
        <v>1032</v>
      </c>
      <c r="AE58" s="119" t="s">
        <v>36</v>
      </c>
      <c r="AF58" s="120"/>
      <c r="AH58" s="118">
        <v>1</v>
      </c>
      <c r="AI58" s="118"/>
      <c r="AJ58" s="118"/>
      <c r="AL58" s="118"/>
      <c r="AM58" s="118">
        <v>12</v>
      </c>
      <c r="AN58" s="118"/>
    </row>
    <row r="59" spans="1:40" s="93" customFormat="1" ht="39.950000000000003" customHeight="1" x14ac:dyDescent="0.25">
      <c r="A59" s="110">
        <v>41</v>
      </c>
      <c r="B59" s="139"/>
      <c r="C59" s="140" t="s">
        <v>122</v>
      </c>
      <c r="D59" s="140" t="s">
        <v>2046</v>
      </c>
      <c r="E59" s="141" t="s">
        <v>2047</v>
      </c>
      <c r="F59" s="142" t="str">
        <f t="shared" si="16"/>
        <v>30 años 10 meses 0 días</v>
      </c>
      <c r="G59" s="143">
        <v>0.88</v>
      </c>
      <c r="H59" s="110" t="str">
        <f t="shared" si="17"/>
        <v>56 años 1 meses 29 días</v>
      </c>
      <c r="I59" s="110" t="str">
        <f t="shared" si="18"/>
        <v>8 años 1 meses 0 días</v>
      </c>
      <c r="J59" s="195"/>
      <c r="K59" s="196"/>
      <c r="L59" s="197"/>
      <c r="M59" s="144">
        <v>32541.77</v>
      </c>
      <c r="N59" s="115">
        <f t="shared" si="12"/>
        <v>28636.757600000001</v>
      </c>
      <c r="O59" s="134"/>
      <c r="P59" s="134" t="s">
        <v>42</v>
      </c>
      <c r="Q59" s="115" t="s">
        <v>336</v>
      </c>
      <c r="R59" s="145">
        <v>34121</v>
      </c>
      <c r="S59" s="146">
        <v>45383</v>
      </c>
      <c r="T59" s="145">
        <v>24871</v>
      </c>
      <c r="U59" s="145">
        <v>42430</v>
      </c>
      <c r="V59" s="116"/>
      <c r="W59" s="116"/>
      <c r="X59" s="116"/>
      <c r="Y59" s="116"/>
      <c r="Z59" s="52"/>
      <c r="AA59" s="52"/>
      <c r="AB59" s="52"/>
      <c r="AC59" s="117"/>
      <c r="AD59" s="118" t="s">
        <v>293</v>
      </c>
      <c r="AE59" s="119" t="s">
        <v>36</v>
      </c>
      <c r="AF59" s="135" t="s">
        <v>37</v>
      </c>
      <c r="AH59" s="118"/>
      <c r="AI59" s="118"/>
      <c r="AJ59" s="118"/>
      <c r="AL59" s="118"/>
      <c r="AM59" s="118"/>
      <c r="AN59" s="118"/>
    </row>
    <row r="60" spans="1:40" s="93" customFormat="1" ht="39.950000000000003" customHeight="1" x14ac:dyDescent="0.25">
      <c r="A60" s="110">
        <v>42</v>
      </c>
      <c r="B60" s="139"/>
      <c r="C60" s="140" t="s">
        <v>122</v>
      </c>
      <c r="D60" s="140" t="s">
        <v>2048</v>
      </c>
      <c r="E60" s="141" t="s">
        <v>2049</v>
      </c>
      <c r="F60" s="142" t="str">
        <f>DATEDIF(R60,S60,"y") + DATEDIF(V60,W60,"y") + DATEDIF(X60,Y60,"y") + DATEDIF(Z60,AA60,"y") + SUM(AH60) &amp; " años " &amp; DATEDIF(R60,S60,"ym") + DATEDIF(V60,W60,"ym") + DATEDIF(X60,Y60,"ym")  + DATEDIF(Z60,AA60,"ym") + SUM(AI60) - SUM(AM60) &amp; " meses " &amp; DATEDIF(R60,S60,"md") + DATEDIF(V60,W60,"md") + DATEDIF(X60,Y60,"md")  + DATEDIF(Z60,AA60,"md") - SUM(AN60) &amp; " días"</f>
        <v>30 años 8 meses 16 días</v>
      </c>
      <c r="G60" s="143">
        <v>0.88</v>
      </c>
      <c r="H60" s="110" t="str">
        <f t="shared" si="17"/>
        <v>52 años 10 meses 7 días</v>
      </c>
      <c r="I60" s="110" t="str">
        <f t="shared" si="18"/>
        <v>7 años 1 meses 0 días</v>
      </c>
      <c r="J60" s="195"/>
      <c r="K60" s="196"/>
      <c r="L60" s="197"/>
      <c r="M60" s="144">
        <v>32541.77</v>
      </c>
      <c r="N60" s="115">
        <f t="shared" si="12"/>
        <v>28636.757600000001</v>
      </c>
      <c r="O60" s="134"/>
      <c r="P60" s="134" t="s">
        <v>42</v>
      </c>
      <c r="Q60" s="115" t="s">
        <v>336</v>
      </c>
      <c r="R60" s="145">
        <v>39661</v>
      </c>
      <c r="S60" s="146">
        <v>45383</v>
      </c>
      <c r="T60" s="145">
        <v>26078</v>
      </c>
      <c r="U60" s="145">
        <v>42795</v>
      </c>
      <c r="V60" s="116">
        <v>32994</v>
      </c>
      <c r="W60" s="116">
        <v>34455</v>
      </c>
      <c r="X60" s="116">
        <v>35309</v>
      </c>
      <c r="Y60" s="116">
        <v>36537</v>
      </c>
      <c r="Z60" s="116">
        <v>36800</v>
      </c>
      <c r="AA60" s="116">
        <v>39605</v>
      </c>
      <c r="AB60" s="52"/>
      <c r="AC60" s="117"/>
      <c r="AD60" s="118" t="s">
        <v>293</v>
      </c>
      <c r="AE60" s="119" t="s">
        <v>36</v>
      </c>
      <c r="AF60" s="135" t="s">
        <v>37</v>
      </c>
      <c r="AH60" s="118">
        <v>1</v>
      </c>
      <c r="AI60" s="118"/>
      <c r="AJ60" s="118"/>
      <c r="AL60" s="118"/>
      <c r="AM60" s="118">
        <v>12</v>
      </c>
      <c r="AN60" s="118"/>
    </row>
    <row r="61" spans="1:40" s="93" customFormat="1" ht="39.950000000000003" customHeight="1" x14ac:dyDescent="0.25">
      <c r="A61" s="110">
        <v>43</v>
      </c>
      <c r="B61" s="139"/>
      <c r="C61" s="140" t="s">
        <v>122</v>
      </c>
      <c r="D61" s="140" t="s">
        <v>2050</v>
      </c>
      <c r="E61" s="141" t="s">
        <v>2051</v>
      </c>
      <c r="F61" s="142" t="str">
        <f>DATEDIF(R61,S61,"y") + DATEDIF(V61,W61,"y") + DATEDIF(X61,Y61,"y") + SUM(AH61) &amp; " años " &amp; DATEDIF(R61,S61,"ym") + DATEDIF(V61,W61,"ym") + DATEDIF(X61,Y61,"ym") + DATEDIF(X61,Y61,"ym") + SUM(AI61) - SUM(AM61) &amp; " meses " &amp; DATEDIF(R61,S61,"md") + DATEDIF(V61,W61,"md") + DATEDIF(X61,Y61,"md") + DATEDIF(X61,Y61,"md") - SUM(AN61) &amp; " días"</f>
        <v>30 años 2 meses 15 días</v>
      </c>
      <c r="G61" s="143">
        <v>0.85</v>
      </c>
      <c r="H61" s="110" t="str">
        <f t="shared" si="17"/>
        <v>54 años 6 meses 8 días</v>
      </c>
      <c r="I61" s="110" t="str">
        <f t="shared" si="18"/>
        <v>5 años 1 meses 0 días</v>
      </c>
      <c r="J61" s="195"/>
      <c r="K61" s="196"/>
      <c r="L61" s="197"/>
      <c r="M61" s="144">
        <v>32541.78</v>
      </c>
      <c r="N61" s="115">
        <f t="shared" si="12"/>
        <v>27660.512999999999</v>
      </c>
      <c r="O61" s="134"/>
      <c r="P61" s="134" t="s">
        <v>42</v>
      </c>
      <c r="Q61" s="115" t="s">
        <v>336</v>
      </c>
      <c r="R61" s="145">
        <v>34351</v>
      </c>
      <c r="S61" s="146">
        <v>45383</v>
      </c>
      <c r="T61" s="145">
        <v>25470</v>
      </c>
      <c r="U61" s="145">
        <v>43525</v>
      </c>
      <c r="V61" s="116"/>
      <c r="W61" s="116"/>
      <c r="X61" s="116"/>
      <c r="Y61" s="116"/>
      <c r="Z61" s="52"/>
      <c r="AA61" s="52"/>
      <c r="AB61" s="52"/>
      <c r="AC61" s="117"/>
      <c r="AD61" s="118" t="s">
        <v>293</v>
      </c>
      <c r="AE61" s="119" t="s">
        <v>36</v>
      </c>
      <c r="AF61" s="135" t="s">
        <v>37</v>
      </c>
      <c r="AH61" s="118"/>
      <c r="AI61" s="118"/>
      <c r="AJ61" s="118"/>
      <c r="AL61" s="118"/>
      <c r="AM61" s="118"/>
      <c r="AN61" s="118"/>
    </row>
    <row r="62" spans="1:40" s="93" customFormat="1" ht="39.950000000000003" customHeight="1" x14ac:dyDescent="0.25">
      <c r="A62" s="110">
        <v>44</v>
      </c>
      <c r="B62" s="139"/>
      <c r="C62" s="140" t="s">
        <v>122</v>
      </c>
      <c r="D62" s="140" t="s">
        <v>2052</v>
      </c>
      <c r="E62" s="141" t="s">
        <v>2053</v>
      </c>
      <c r="F62" s="142" t="str">
        <f>DATEDIF(R62,S62,"y") + DATEDIF(V62,W62,"y") + DATEDIF(X62,Y62,"y") + SUM(AH62) &amp; " años " &amp; DATEDIF(R62,S62,"ym") + DATEDIF(V62,W62,"ym") + DATEDIF(X62,Y62,"ym") + SUM(AI62) - SUM(AM62) &amp; " meses " &amp; DATEDIF(R62,S62,"md") + DATEDIF(V62,W62,"md") + DATEDIF(X62,Y62,"md") - SUM(AN62) &amp; " días"</f>
        <v>25 años 10 meses 22 días</v>
      </c>
      <c r="G62" s="143">
        <v>0.75</v>
      </c>
      <c r="H62" s="110" t="str">
        <f t="shared" si="17"/>
        <v>50 años 4 meses 6 días</v>
      </c>
      <c r="I62" s="110" t="str">
        <f t="shared" si="18"/>
        <v>6 años 1 meses 5 días</v>
      </c>
      <c r="J62" s="195"/>
      <c r="K62" s="196"/>
      <c r="L62" s="197"/>
      <c r="M62" s="144">
        <v>32541.77</v>
      </c>
      <c r="N62" s="115">
        <f t="shared" si="12"/>
        <v>24406.327499999999</v>
      </c>
      <c r="O62" s="134"/>
      <c r="P62" s="134" t="s">
        <v>42</v>
      </c>
      <c r="Q62" s="115" t="s">
        <v>336</v>
      </c>
      <c r="R62" s="145">
        <v>38571</v>
      </c>
      <c r="S62" s="146">
        <v>45383</v>
      </c>
      <c r="T62" s="145">
        <v>26994</v>
      </c>
      <c r="U62" s="145">
        <v>43158</v>
      </c>
      <c r="V62" s="116">
        <v>34394</v>
      </c>
      <c r="W62" s="116">
        <v>36320</v>
      </c>
      <c r="X62" s="116">
        <v>36373</v>
      </c>
      <c r="Y62" s="116">
        <v>37093</v>
      </c>
      <c r="Z62" s="52"/>
      <c r="AA62" s="52"/>
      <c r="AB62" s="52"/>
      <c r="AC62" s="117"/>
      <c r="AD62" s="118" t="s">
        <v>293</v>
      </c>
      <c r="AE62" s="119" t="s">
        <v>36</v>
      </c>
      <c r="AF62" s="135" t="s">
        <v>37</v>
      </c>
      <c r="AH62" s="118">
        <v>1</v>
      </c>
      <c r="AI62" s="118">
        <v>1</v>
      </c>
      <c r="AJ62" s="118"/>
      <c r="AL62" s="118"/>
      <c r="AM62" s="118">
        <v>12</v>
      </c>
      <c r="AN62" s="118">
        <v>31</v>
      </c>
    </row>
    <row r="63" spans="1:40" s="93" customFormat="1" ht="39.950000000000003" customHeight="1" x14ac:dyDescent="0.25">
      <c r="A63" s="110">
        <v>45</v>
      </c>
      <c r="B63" s="139"/>
      <c r="C63" s="140" t="s">
        <v>122</v>
      </c>
      <c r="D63" s="140" t="s">
        <v>2054</v>
      </c>
      <c r="E63" s="141" t="s">
        <v>2055</v>
      </c>
      <c r="F63" s="142" t="str">
        <f t="shared" si="16"/>
        <v>30 años 7 meses 0 días</v>
      </c>
      <c r="G63" s="143">
        <v>0.88</v>
      </c>
      <c r="H63" s="110" t="str">
        <f t="shared" si="17"/>
        <v>48 años 7 meses 22 días</v>
      </c>
      <c r="I63" s="110" t="str">
        <f t="shared" si="18"/>
        <v>7 años 1 meses 0 días</v>
      </c>
      <c r="J63" s="195"/>
      <c r="K63" s="196"/>
      <c r="L63" s="197"/>
      <c r="M63" s="144">
        <v>32541.77</v>
      </c>
      <c r="N63" s="115">
        <f t="shared" si="12"/>
        <v>28636.757600000001</v>
      </c>
      <c r="O63" s="134"/>
      <c r="P63" s="134" t="s">
        <v>42</v>
      </c>
      <c r="Q63" s="115" t="s">
        <v>336</v>
      </c>
      <c r="R63" s="145">
        <v>34213</v>
      </c>
      <c r="S63" s="146">
        <v>45383</v>
      </c>
      <c r="T63" s="145">
        <v>27616</v>
      </c>
      <c r="U63" s="145">
        <v>42795</v>
      </c>
      <c r="V63" s="116"/>
      <c r="W63" s="116"/>
      <c r="X63" s="116"/>
      <c r="Y63" s="116"/>
      <c r="Z63" s="52"/>
      <c r="AA63" s="52"/>
      <c r="AB63" s="52"/>
      <c r="AC63" s="117"/>
      <c r="AD63" s="118" t="s">
        <v>293</v>
      </c>
      <c r="AE63" s="119" t="s">
        <v>36</v>
      </c>
      <c r="AF63" s="135" t="s">
        <v>37</v>
      </c>
      <c r="AH63" s="118"/>
      <c r="AI63" s="118"/>
      <c r="AJ63" s="118"/>
      <c r="AL63" s="118"/>
      <c r="AM63" s="118"/>
      <c r="AN63" s="118"/>
    </row>
    <row r="64" spans="1:40" s="93" customFormat="1" ht="39.950000000000003" customHeight="1" x14ac:dyDescent="0.25">
      <c r="A64" s="110">
        <v>46</v>
      </c>
      <c r="B64" s="139"/>
      <c r="C64" s="140" t="s">
        <v>122</v>
      </c>
      <c r="D64" s="140" t="s">
        <v>2056</v>
      </c>
      <c r="E64" s="141" t="s">
        <v>2057</v>
      </c>
      <c r="F64" s="142" t="str">
        <f t="shared" si="16"/>
        <v>25 años 8 meses 5 días</v>
      </c>
      <c r="G64" s="143">
        <v>0.75</v>
      </c>
      <c r="H64" s="110" t="str">
        <f t="shared" si="17"/>
        <v>43 años 10 meses 3 días</v>
      </c>
      <c r="I64" s="110" t="str">
        <f t="shared" si="18"/>
        <v>4 años 1 meses 5 días</v>
      </c>
      <c r="J64" s="195"/>
      <c r="K64" s="196"/>
      <c r="L64" s="197"/>
      <c r="M64" s="144">
        <v>31510.28</v>
      </c>
      <c r="N64" s="115">
        <f t="shared" si="12"/>
        <v>23632.71</v>
      </c>
      <c r="O64" s="134"/>
      <c r="P64" s="134" t="s">
        <v>42</v>
      </c>
      <c r="Q64" s="115" t="s">
        <v>336</v>
      </c>
      <c r="R64" s="145">
        <v>37377</v>
      </c>
      <c r="S64" s="146">
        <v>45383</v>
      </c>
      <c r="T64" s="145">
        <v>29370</v>
      </c>
      <c r="U64" s="145">
        <v>43888</v>
      </c>
      <c r="V64" s="116">
        <v>35156</v>
      </c>
      <c r="W64" s="116">
        <v>36531</v>
      </c>
      <c r="X64" s="116"/>
      <c r="Y64" s="116"/>
      <c r="Z64" s="52"/>
      <c r="AA64" s="52"/>
      <c r="AB64" s="52"/>
      <c r="AC64" s="117"/>
      <c r="AD64" s="118" t="s">
        <v>268</v>
      </c>
      <c r="AE64" s="119" t="s">
        <v>36</v>
      </c>
      <c r="AF64" s="135" t="s">
        <v>37</v>
      </c>
      <c r="AH64" s="118">
        <v>1</v>
      </c>
      <c r="AI64" s="118"/>
      <c r="AJ64" s="118"/>
      <c r="AL64" s="118"/>
      <c r="AM64" s="118">
        <v>12</v>
      </c>
      <c r="AN64" s="118"/>
    </row>
    <row r="65" spans="1:40" s="93" customFormat="1" ht="39.950000000000003" customHeight="1" x14ac:dyDescent="0.25">
      <c r="A65" s="110">
        <v>47</v>
      </c>
      <c r="B65" s="139"/>
      <c r="C65" s="140" t="s">
        <v>122</v>
      </c>
      <c r="D65" s="140" t="s">
        <v>2058</v>
      </c>
      <c r="E65" s="141" t="s">
        <v>2059</v>
      </c>
      <c r="F65" s="142" t="str">
        <f t="shared" si="16"/>
        <v>30 años 7 meses 0 días</v>
      </c>
      <c r="G65" s="143">
        <v>0.88</v>
      </c>
      <c r="H65" s="110" t="str">
        <f t="shared" si="17"/>
        <v>52 años 1 meses 3 días</v>
      </c>
      <c r="I65" s="110" t="str">
        <f t="shared" si="18"/>
        <v>9 años 1 meses 5 días</v>
      </c>
      <c r="J65" s="195"/>
      <c r="K65" s="196"/>
      <c r="L65" s="197"/>
      <c r="M65" s="144">
        <v>32541.77</v>
      </c>
      <c r="N65" s="115">
        <f t="shared" si="12"/>
        <v>28636.757600000001</v>
      </c>
      <c r="O65" s="134"/>
      <c r="P65" s="134" t="s">
        <v>42</v>
      </c>
      <c r="Q65" s="115" t="s">
        <v>336</v>
      </c>
      <c r="R65" s="145">
        <v>34213</v>
      </c>
      <c r="S65" s="146">
        <v>45383</v>
      </c>
      <c r="T65" s="145">
        <v>26358</v>
      </c>
      <c r="U65" s="145">
        <v>42062</v>
      </c>
      <c r="V65" s="116"/>
      <c r="W65" s="116"/>
      <c r="X65" s="116"/>
      <c r="Y65" s="116"/>
      <c r="Z65" s="52"/>
      <c r="AA65" s="52"/>
      <c r="AB65" s="52"/>
      <c r="AC65" s="117"/>
      <c r="AD65" s="118" t="s">
        <v>268</v>
      </c>
      <c r="AE65" s="119" t="s">
        <v>36</v>
      </c>
      <c r="AF65" s="135" t="s">
        <v>37</v>
      </c>
      <c r="AH65" s="118"/>
      <c r="AI65" s="118"/>
      <c r="AJ65" s="118"/>
      <c r="AL65" s="118"/>
      <c r="AM65" s="118"/>
      <c r="AN65" s="118"/>
    </row>
    <row r="66" spans="1:40" s="93" customFormat="1" ht="39.950000000000003" customHeight="1" x14ac:dyDescent="0.25">
      <c r="A66" s="110">
        <v>48</v>
      </c>
      <c r="B66" s="139"/>
      <c r="C66" s="140" t="s">
        <v>122</v>
      </c>
      <c r="D66" s="140" t="s">
        <v>2060</v>
      </c>
      <c r="E66" s="141" t="s">
        <v>2061</v>
      </c>
      <c r="F66" s="142" t="str">
        <f t="shared" si="16"/>
        <v>23 años 2 meses 0 días</v>
      </c>
      <c r="G66" s="143">
        <v>0.67500000000000004</v>
      </c>
      <c r="H66" s="110" t="str">
        <f t="shared" si="17"/>
        <v>60 años 3 meses 11 días</v>
      </c>
      <c r="I66" s="110" t="str">
        <f t="shared" si="18"/>
        <v>8 años 1 meses 0 días</v>
      </c>
      <c r="J66" s="195"/>
      <c r="K66" s="196"/>
      <c r="L66" s="197"/>
      <c r="M66" s="144">
        <v>32541.78</v>
      </c>
      <c r="N66" s="115">
        <f t="shared" si="12"/>
        <v>21965.701499999999</v>
      </c>
      <c r="O66" s="134"/>
      <c r="P66" s="134" t="s">
        <v>42</v>
      </c>
      <c r="Q66" s="115" t="s">
        <v>336</v>
      </c>
      <c r="R66" s="145">
        <v>36923</v>
      </c>
      <c r="S66" s="146">
        <v>45383</v>
      </c>
      <c r="T66" s="145">
        <v>23366</v>
      </c>
      <c r="U66" s="145">
        <v>42430</v>
      </c>
      <c r="V66" s="116"/>
      <c r="W66" s="116"/>
      <c r="X66" s="116"/>
      <c r="Y66" s="116"/>
      <c r="Z66" s="52"/>
      <c r="AA66" s="52"/>
      <c r="AB66" s="52"/>
      <c r="AC66" s="117"/>
      <c r="AD66" s="118" t="s">
        <v>1032</v>
      </c>
      <c r="AE66" s="119" t="s">
        <v>36</v>
      </c>
      <c r="AF66" s="135" t="s">
        <v>37</v>
      </c>
      <c r="AH66" s="118"/>
      <c r="AI66" s="118"/>
      <c r="AJ66" s="118"/>
      <c r="AL66" s="118"/>
      <c r="AM66" s="118"/>
      <c r="AN66" s="118"/>
    </row>
    <row r="67" spans="1:40" s="93" customFormat="1" ht="39.950000000000003" customHeight="1" x14ac:dyDescent="0.25">
      <c r="A67" s="110">
        <v>49</v>
      </c>
      <c r="B67" s="110"/>
      <c r="C67" s="140" t="s">
        <v>122</v>
      </c>
      <c r="D67" s="140" t="s">
        <v>2062</v>
      </c>
      <c r="E67" s="150" t="s">
        <v>2063</v>
      </c>
      <c r="F67" s="142" t="str">
        <f>DATEDIF(R67,S67,"y") + DATEDIF(V67,W67,"y") + DATEDIF(X67,Y67,"y") + SUM(AH67) &amp; " años " &amp; DATEDIF(R67,S67,"ym") + DATEDIF(V67,W67,"ym") + DATEDIF(X67,Y67,"ym") + SUM(AI67) - SUM(AM67) &amp; " meses " &amp; DATEDIF(R67,S67,"md") + DATEDIF(V67,W67,"md") + DATEDIF(X67,Y67,"md") - SUM(AN67) &amp; " días"</f>
        <v>28 años 11 meses 0 días</v>
      </c>
      <c r="G67" s="149">
        <v>1</v>
      </c>
      <c r="H67" s="110" t="str">
        <f>DATEDIF(T67,S67,"y") &amp; " años " &amp; DATEDIF(T67,S67,"ym") &amp; " meses " &amp; DATEDIF(T67,S67,"md") &amp; " días"</f>
        <v>49 años 5 meses 30 días</v>
      </c>
      <c r="I67" s="110" t="str">
        <f>DATEDIF(U67,S67,"y") &amp; " años " &amp; DATEDIF(U67,S67,"ym") &amp; " meses " &amp; DATEDIF(U67,S67,"md") &amp; " días"</f>
        <v>8 años 1 meses 0 días</v>
      </c>
      <c r="J67" s="195"/>
      <c r="K67" s="196"/>
      <c r="L67" s="197"/>
      <c r="M67" s="151">
        <v>32541.78</v>
      </c>
      <c r="N67" s="115">
        <f>M67*G67</f>
        <v>32541.78</v>
      </c>
      <c r="O67" s="134" t="s">
        <v>2064</v>
      </c>
      <c r="P67" s="134" t="s">
        <v>33</v>
      </c>
      <c r="Q67" s="115" t="s">
        <v>337</v>
      </c>
      <c r="R67" s="145">
        <v>34821</v>
      </c>
      <c r="S67" s="146">
        <v>45383</v>
      </c>
      <c r="T67" s="145">
        <v>27304</v>
      </c>
      <c r="U67" s="145">
        <v>42430</v>
      </c>
      <c r="V67" s="116"/>
      <c r="W67" s="116"/>
      <c r="X67" s="116"/>
      <c r="Y67" s="116"/>
      <c r="Z67" s="52"/>
      <c r="AA67" s="52"/>
      <c r="AB67" s="52"/>
      <c r="AC67" s="117"/>
      <c r="AD67" s="118" t="s">
        <v>293</v>
      </c>
      <c r="AE67" s="119" t="s">
        <v>36</v>
      </c>
      <c r="AF67" s="135" t="s">
        <v>37</v>
      </c>
      <c r="AH67" s="118"/>
      <c r="AI67" s="118">
        <v>1</v>
      </c>
      <c r="AJ67" s="118"/>
      <c r="AL67" s="118"/>
      <c r="AM67" s="118"/>
      <c r="AN67" s="118">
        <v>30</v>
      </c>
    </row>
    <row r="68" spans="1:40" s="93" customFormat="1" ht="39.950000000000003" customHeight="1" x14ac:dyDescent="0.25">
      <c r="A68" s="110">
        <v>50</v>
      </c>
      <c r="B68" s="110"/>
      <c r="C68" s="148" t="s">
        <v>122</v>
      </c>
      <c r="D68" s="152" t="s">
        <v>2065</v>
      </c>
      <c r="E68" s="153" t="s">
        <v>2066</v>
      </c>
      <c r="F68" s="142" t="str">
        <f t="shared" ref="F68:F70" si="19">DATEDIF(R68,S68,"y") + DATEDIF(V68,W68,"y") + DATEDIF(X68,Y68,"y") + SUM(AH68) &amp; " años " &amp; DATEDIF(R68,S68,"ym") + DATEDIF(V68,W68,"ym") + DATEDIF(X68,Y68,"ym") + SUM(AI68) - SUM(AM68) &amp; " meses " &amp; DATEDIF(R68,S68,"md") + DATEDIF(V68,W68,"md") + DATEDIF(X68,Y68,"md") - SUM(AN68) &amp; " días"</f>
        <v>26 años 4 meses 27 días</v>
      </c>
      <c r="G68" s="149">
        <v>1</v>
      </c>
      <c r="H68" s="110" t="str">
        <f t="shared" ref="H68:H70" si="20">DATEDIF(T68,S68,"y") &amp; " años " &amp; DATEDIF(T68,S68,"ym") &amp; " meses " &amp; DATEDIF(T68,S68,"md") &amp; " días"</f>
        <v>53 años 7 meses 1 días</v>
      </c>
      <c r="I68" s="110" t="str">
        <f t="shared" ref="I68:I70" si="21">DATEDIF(U68,S68,"y") &amp; " años " &amp; DATEDIF(U68,S68,"ym") &amp; " meses " &amp; DATEDIF(U68,S68,"md") &amp; " días"</f>
        <v>7 años 1 meses 0 días</v>
      </c>
      <c r="J68" s="195"/>
      <c r="K68" s="196"/>
      <c r="L68" s="197"/>
      <c r="M68" s="115">
        <v>32541.78</v>
      </c>
      <c r="N68" s="115">
        <f t="shared" ref="N68:N70" si="22">M68*G68</f>
        <v>32541.78</v>
      </c>
      <c r="O68" s="134" t="s">
        <v>2064</v>
      </c>
      <c r="P68" s="134" t="s">
        <v>33</v>
      </c>
      <c r="Q68" s="115" t="s">
        <v>337</v>
      </c>
      <c r="R68" s="154">
        <v>39661</v>
      </c>
      <c r="S68" s="154">
        <v>45383</v>
      </c>
      <c r="T68" s="155">
        <v>25811</v>
      </c>
      <c r="U68" s="155">
        <v>42795</v>
      </c>
      <c r="V68" s="116">
        <v>34578</v>
      </c>
      <c r="W68" s="116">
        <v>36416</v>
      </c>
      <c r="X68" s="116">
        <v>37544</v>
      </c>
      <c r="Y68" s="116">
        <v>39629</v>
      </c>
      <c r="Z68"/>
      <c r="AA68"/>
      <c r="AB68"/>
      <c r="AC68" s="117"/>
      <c r="AD68" s="118" t="s">
        <v>35</v>
      </c>
      <c r="AE68" s="119" t="s">
        <v>36</v>
      </c>
      <c r="AF68" s="135" t="s">
        <v>37</v>
      </c>
      <c r="AH68" s="118">
        <v>1</v>
      </c>
      <c r="AI68" s="118"/>
      <c r="AJ68" s="118"/>
      <c r="AL68" s="118"/>
      <c r="AM68" s="118">
        <v>12</v>
      </c>
      <c r="AN68" s="118"/>
    </row>
    <row r="69" spans="1:40" s="93" customFormat="1" ht="39.950000000000003" customHeight="1" x14ac:dyDescent="0.25">
      <c r="A69" s="110">
        <v>51</v>
      </c>
      <c r="B69" s="110"/>
      <c r="C69" s="148" t="s">
        <v>122</v>
      </c>
      <c r="D69" s="152" t="s">
        <v>2067</v>
      </c>
      <c r="E69" s="153" t="s">
        <v>2068</v>
      </c>
      <c r="F69" s="142" t="str">
        <f t="shared" ref="F69" si="23">DATEDIF(R69,S69,"y") + DATEDIF(V69,W69,"y") + DATEDIF(X69,Y69,"y") + SUM(AH69) &amp; " años " &amp; DATEDIF(R69,S69,"ym") + DATEDIF(V69,W69,"ym") + DATEDIF(X69,Y69,"ym") + SUM(AI69) - SUM(AM69) &amp; " meses " &amp; DATEDIF(R69,S69,"md") + DATEDIF(V69,W69,"md") + DATEDIF(X69,Y69,"md") - SUM(AN69) &amp; " días"</f>
        <v>23 años 6 meses 17 días</v>
      </c>
      <c r="G69" s="149">
        <v>1</v>
      </c>
      <c r="H69" s="110" t="str">
        <f t="shared" si="20"/>
        <v>43 años 7 meses 9 días</v>
      </c>
      <c r="I69" s="110" t="str">
        <f t="shared" si="21"/>
        <v>7 años 1 meses 0 días</v>
      </c>
      <c r="J69" s="195"/>
      <c r="K69" s="196"/>
      <c r="L69" s="197"/>
      <c r="M69" s="115">
        <v>32541.78</v>
      </c>
      <c r="N69" s="115">
        <f t="shared" si="22"/>
        <v>32541.78</v>
      </c>
      <c r="O69" s="134" t="s">
        <v>2064</v>
      </c>
      <c r="P69" s="134" t="s">
        <v>33</v>
      </c>
      <c r="Q69" s="115" t="s">
        <v>337</v>
      </c>
      <c r="R69" s="154">
        <v>36784</v>
      </c>
      <c r="S69" s="154">
        <v>45383</v>
      </c>
      <c r="T69" s="155">
        <v>29456</v>
      </c>
      <c r="U69" s="155">
        <v>42795</v>
      </c>
      <c r="V69" s="116"/>
      <c r="W69" s="116"/>
      <c r="X69" s="116"/>
      <c r="Y69" s="116"/>
      <c r="Z69"/>
      <c r="AA69"/>
      <c r="AB69"/>
      <c r="AC69" s="117"/>
      <c r="AD69" s="118" t="s">
        <v>35</v>
      </c>
      <c r="AE69" s="119" t="s">
        <v>36</v>
      </c>
      <c r="AF69" s="135" t="s">
        <v>37</v>
      </c>
      <c r="AH69" s="118"/>
      <c r="AI69" s="118"/>
      <c r="AJ69" s="118"/>
      <c r="AL69" s="118"/>
      <c r="AM69" s="118"/>
      <c r="AN69" s="118"/>
    </row>
    <row r="70" spans="1:40" s="93" customFormat="1" ht="39.950000000000003" customHeight="1" x14ac:dyDescent="0.25">
      <c r="A70" s="110">
        <v>52</v>
      </c>
      <c r="B70" s="110"/>
      <c r="C70" s="148" t="s">
        <v>122</v>
      </c>
      <c r="D70" s="152" t="s">
        <v>2069</v>
      </c>
      <c r="E70" s="153" t="s">
        <v>2070</v>
      </c>
      <c r="F70" s="142" t="str">
        <f t="shared" si="19"/>
        <v>27 años 1 meses 10 días</v>
      </c>
      <c r="G70" s="149">
        <v>1</v>
      </c>
      <c r="H70" s="110" t="str">
        <f t="shared" si="20"/>
        <v>47 años 11 meses 5 días</v>
      </c>
      <c r="I70" s="110" t="str">
        <f t="shared" si="21"/>
        <v>6 años 1 meses 5 días</v>
      </c>
      <c r="J70" s="195"/>
      <c r="K70" s="196"/>
      <c r="L70" s="197"/>
      <c r="M70" s="115">
        <v>32541.78</v>
      </c>
      <c r="N70" s="115">
        <f t="shared" si="22"/>
        <v>32541.78</v>
      </c>
      <c r="O70" s="134" t="s">
        <v>2064</v>
      </c>
      <c r="P70" s="134" t="s">
        <v>33</v>
      </c>
      <c r="Q70" s="115" t="s">
        <v>337</v>
      </c>
      <c r="R70" s="154">
        <v>35704</v>
      </c>
      <c r="S70" s="154">
        <v>45383</v>
      </c>
      <c r="T70" s="155">
        <v>27877</v>
      </c>
      <c r="U70" s="155">
        <v>43158</v>
      </c>
      <c r="V70" s="116">
        <v>35065</v>
      </c>
      <c r="W70" s="116">
        <v>35288</v>
      </c>
      <c r="X70" s="116"/>
      <c r="Y70" s="116"/>
      <c r="Z70"/>
      <c r="AA70"/>
      <c r="AB70"/>
      <c r="AC70" s="117"/>
      <c r="AD70" s="118" t="s">
        <v>35</v>
      </c>
      <c r="AE70" s="119" t="s">
        <v>36</v>
      </c>
      <c r="AF70" s="135" t="s">
        <v>37</v>
      </c>
      <c r="AH70" s="118">
        <v>1</v>
      </c>
      <c r="AI70" s="118"/>
      <c r="AJ70" s="118"/>
      <c r="AL70" s="118"/>
      <c r="AM70" s="118">
        <v>12</v>
      </c>
      <c r="AN70" s="118"/>
    </row>
    <row r="71" spans="1:40" s="93" customFormat="1" ht="39.950000000000003" customHeight="1" x14ac:dyDescent="0.25">
      <c r="A71" s="110">
        <v>53</v>
      </c>
      <c r="B71" s="150"/>
      <c r="C71" s="140" t="s">
        <v>2071</v>
      </c>
      <c r="D71" s="140" t="s">
        <v>2072</v>
      </c>
      <c r="E71" s="150" t="s">
        <v>2073</v>
      </c>
      <c r="F71" s="142" t="str">
        <f>DATEDIF(R71,S71,"y") + DATEDIF(V71,W71,"y") + DATEDIF(X71,Y71,"y") + SUM(AH71) &amp; " años " &amp; DATEDIF(R71,S71,"ym") + DATEDIF(V71,W71,"ym") + DATEDIF(X71,Y71,"ym") + SUM(AI71) - SUM(AM71) &amp; " meses " &amp; DATEDIF(R71,S71,"md") + DATEDIF(V71,W71,"md") + DATEDIF(X71,Y71,"md") - SUM(AN71) &amp; " días"</f>
        <v>26 años 8 meses 10 días</v>
      </c>
      <c r="G71" s="149">
        <v>0.77500000000000002</v>
      </c>
      <c r="H71" s="110" t="str">
        <f>DATEDIF(T71,S71,"y") &amp; " años " &amp; DATEDIF(T71,S71,"ym") &amp; " meses " &amp; DATEDIF(T71,S71,"md") &amp; " días"</f>
        <v>44 años 7 meses 16 días</v>
      </c>
      <c r="I71" s="110" t="str">
        <f>DATEDIF(U71,S71,"y") &amp; " años " &amp; DATEDIF(U71,S71,"ym") &amp; " meses " &amp; DATEDIF(U71,S71,"md") &amp; " días"</f>
        <v>6 años 8 meses 25 días</v>
      </c>
      <c r="J71" s="195"/>
      <c r="K71" s="196"/>
      <c r="L71" s="197"/>
      <c r="M71" s="151">
        <v>18000</v>
      </c>
      <c r="N71" s="115">
        <f>M71*G71</f>
        <v>13950</v>
      </c>
      <c r="O71" s="134" t="s">
        <v>2074</v>
      </c>
      <c r="P71" s="134" t="s">
        <v>33</v>
      </c>
      <c r="Q71" s="115" t="s">
        <v>338</v>
      </c>
      <c r="R71" s="145">
        <v>33482</v>
      </c>
      <c r="S71" s="146">
        <v>43231</v>
      </c>
      <c r="T71" s="145">
        <v>26932</v>
      </c>
      <c r="U71" s="145">
        <v>40771</v>
      </c>
      <c r="V71" s="116"/>
      <c r="W71" s="116"/>
      <c r="X71" s="116"/>
      <c r="Y71" s="116"/>
      <c r="Z71" s="52"/>
      <c r="AA71" s="52"/>
      <c r="AB71" s="52"/>
      <c r="AC71" s="117"/>
      <c r="AD71" s="118" t="s">
        <v>293</v>
      </c>
      <c r="AE71" s="119" t="s">
        <v>36</v>
      </c>
      <c r="AF71" s="135" t="s">
        <v>37</v>
      </c>
      <c r="AH71" s="118"/>
      <c r="AI71" s="118"/>
      <c r="AJ71" s="118"/>
      <c r="AL71" s="118"/>
      <c r="AM71" s="118"/>
      <c r="AN71" s="118"/>
    </row>
    <row r="72" spans="1:40" s="93" customFormat="1" ht="39.950000000000003" customHeight="1" x14ac:dyDescent="0.25">
      <c r="A72" s="110">
        <v>54</v>
      </c>
      <c r="B72" s="139"/>
      <c r="C72" s="140" t="s">
        <v>145</v>
      </c>
      <c r="D72" s="140" t="s">
        <v>2075</v>
      </c>
      <c r="E72" s="141" t="s">
        <v>2076</v>
      </c>
      <c r="F72" s="142" t="str">
        <f t="shared" ref="F72:F78" si="24">DATEDIF(R72,S72,"y") + DATEDIF(V72,W72,"y") + DATEDIF(X72,Y72,"y") + SUM(AH72) &amp; " años " &amp; DATEDIF(R72,S72,"ym") + DATEDIF(V72,W72,"ym") + DATEDIF(X72,Y72,"ym") + SUM(AI72) - SUM(AM72) &amp; " meses " &amp; DATEDIF(R72,S72,"md") + DATEDIF(V72,W72,"md") + DATEDIF(X72,Y72,"md") - SUM(AN72) &amp; " días"</f>
        <v>23 años 0 meses 7 días</v>
      </c>
      <c r="G72" s="143">
        <v>0.67500000000000004</v>
      </c>
      <c r="H72" s="110" t="str">
        <f t="shared" ref="H72:H81" si="25">DATEDIF(T72,S72,"y") &amp; " años " &amp; DATEDIF(T72,S72,"ym") &amp; " meses " &amp; DATEDIF(T72,S72,"md") &amp; " días"</f>
        <v>64 años 3 meses 0 días</v>
      </c>
      <c r="I72" s="110" t="str">
        <f t="shared" ref="I72:I81" si="26">DATEDIF(U72,S72,"y") &amp; " años " &amp; DATEDIF(U72,S72,"ym") &amp; " meses " &amp; DATEDIF(U72,S72,"md") &amp; " días"</f>
        <v>8 años 1 meses 0 días</v>
      </c>
      <c r="J72" s="195"/>
      <c r="K72" s="196"/>
      <c r="L72" s="197"/>
      <c r="M72" s="144">
        <f>31510.27+8000</f>
        <v>39510.270000000004</v>
      </c>
      <c r="N72" s="115">
        <f t="shared" ref="N72:N81" si="27">M72*G72</f>
        <v>26669.432250000005</v>
      </c>
      <c r="O72" s="134"/>
      <c r="P72" s="134" t="s">
        <v>42</v>
      </c>
      <c r="Q72" s="115" t="s">
        <v>336</v>
      </c>
      <c r="R72" s="145">
        <v>36975</v>
      </c>
      <c r="S72" s="146">
        <v>45383</v>
      </c>
      <c r="T72" s="145">
        <v>21916</v>
      </c>
      <c r="U72" s="145">
        <v>42430</v>
      </c>
      <c r="V72" s="116"/>
      <c r="W72" s="116"/>
      <c r="X72" s="116"/>
      <c r="Y72" s="116"/>
      <c r="Z72" s="52" t="s">
        <v>1973</v>
      </c>
      <c r="AA72" s="52"/>
      <c r="AB72" s="52"/>
      <c r="AC72" s="117"/>
      <c r="AD72" s="118" t="s">
        <v>35</v>
      </c>
      <c r="AE72" s="119" t="s">
        <v>36</v>
      </c>
      <c r="AF72" s="135" t="s">
        <v>37</v>
      </c>
      <c r="AH72" s="118"/>
      <c r="AI72" s="118"/>
      <c r="AJ72" s="118"/>
      <c r="AL72" s="118"/>
      <c r="AM72" s="118"/>
      <c r="AN72" s="118"/>
    </row>
    <row r="73" spans="1:40" s="93" customFormat="1" ht="39.950000000000003" customHeight="1" x14ac:dyDescent="0.25">
      <c r="A73" s="110">
        <v>55</v>
      </c>
      <c r="B73" s="139"/>
      <c r="C73" s="140" t="s">
        <v>145</v>
      </c>
      <c r="D73" s="140" t="s">
        <v>2077</v>
      </c>
      <c r="E73" s="141" t="s">
        <v>2078</v>
      </c>
      <c r="F73" s="142" t="str">
        <f t="shared" si="24"/>
        <v>26 años 6 meses 0 días</v>
      </c>
      <c r="G73" s="143">
        <v>0.77500000000000002</v>
      </c>
      <c r="H73" s="110" t="str">
        <f t="shared" si="25"/>
        <v>54 años 3 meses 0 días</v>
      </c>
      <c r="I73" s="110" t="str">
        <f t="shared" si="26"/>
        <v>10 años 6 meses 24 días</v>
      </c>
      <c r="J73" s="195" t="s">
        <v>13</v>
      </c>
      <c r="K73" s="196"/>
      <c r="L73" s="197"/>
      <c r="M73" s="144">
        <f>31510.27</f>
        <v>31510.27</v>
      </c>
      <c r="N73" s="115">
        <f t="shared" si="27"/>
        <v>24420.45925</v>
      </c>
      <c r="O73" s="134"/>
      <c r="P73" s="134" t="s">
        <v>42</v>
      </c>
      <c r="Q73" s="115" t="s">
        <v>336</v>
      </c>
      <c r="R73" s="145">
        <v>35704</v>
      </c>
      <c r="S73" s="146">
        <v>45383</v>
      </c>
      <c r="T73" s="145">
        <v>25569</v>
      </c>
      <c r="U73" s="145">
        <v>41525</v>
      </c>
      <c r="V73" s="116"/>
      <c r="W73" s="116"/>
      <c r="X73" s="116"/>
      <c r="Y73" s="116"/>
      <c r="Z73" s="52"/>
      <c r="AA73" s="52"/>
      <c r="AB73" s="52"/>
      <c r="AC73" s="117"/>
      <c r="AD73" s="118" t="s">
        <v>35</v>
      </c>
      <c r="AE73" s="119" t="s">
        <v>36</v>
      </c>
      <c r="AF73" s="135" t="s">
        <v>37</v>
      </c>
      <c r="AH73" s="118"/>
      <c r="AI73" s="118"/>
      <c r="AJ73" s="118"/>
      <c r="AL73" s="118"/>
      <c r="AM73" s="118"/>
      <c r="AN73" s="118"/>
    </row>
    <row r="74" spans="1:40" s="93" customFormat="1" ht="39.950000000000003" customHeight="1" x14ac:dyDescent="0.25">
      <c r="A74" s="110">
        <v>56</v>
      </c>
      <c r="B74" s="139"/>
      <c r="C74" s="140" t="s">
        <v>145</v>
      </c>
      <c r="D74" s="140" t="s">
        <v>2079</v>
      </c>
      <c r="E74" s="141" t="s">
        <v>2080</v>
      </c>
      <c r="F74" s="142" t="str">
        <f t="shared" si="24"/>
        <v>28 años 2 meses 0 días</v>
      </c>
      <c r="G74" s="143">
        <v>0.8</v>
      </c>
      <c r="H74" s="110" t="str">
        <f t="shared" si="25"/>
        <v>46 años 6 meses 17 días</v>
      </c>
      <c r="I74" s="110" t="str">
        <f t="shared" si="26"/>
        <v>9 años 1 meses 5 días</v>
      </c>
      <c r="J74" s="195"/>
      <c r="K74" s="196"/>
      <c r="L74" s="197"/>
      <c r="M74" s="144">
        <f>31510.28</f>
        <v>31510.28</v>
      </c>
      <c r="N74" s="115">
        <f t="shared" si="27"/>
        <v>25208.224000000002</v>
      </c>
      <c r="O74" s="134"/>
      <c r="P74" s="134" t="s">
        <v>42</v>
      </c>
      <c r="Q74" s="115" t="s">
        <v>336</v>
      </c>
      <c r="R74" s="145">
        <v>35096</v>
      </c>
      <c r="S74" s="146">
        <v>45383</v>
      </c>
      <c r="T74" s="145">
        <v>28383</v>
      </c>
      <c r="U74" s="145">
        <v>42062</v>
      </c>
      <c r="V74" s="116"/>
      <c r="W74" s="116"/>
      <c r="X74" s="116"/>
      <c r="Y74" s="116"/>
      <c r="Z74" s="52"/>
      <c r="AA74" s="52"/>
      <c r="AB74" s="52"/>
      <c r="AC74" s="117"/>
      <c r="AD74" s="118" t="s">
        <v>35</v>
      </c>
      <c r="AE74" s="119" t="s">
        <v>36</v>
      </c>
      <c r="AF74" s="135" t="s">
        <v>37</v>
      </c>
      <c r="AH74" s="118"/>
      <c r="AI74" s="118"/>
      <c r="AJ74" s="118"/>
      <c r="AL74" s="118"/>
      <c r="AM74" s="118"/>
      <c r="AN74" s="118"/>
    </row>
    <row r="75" spans="1:40" s="93" customFormat="1" ht="39.950000000000003" customHeight="1" x14ac:dyDescent="0.25">
      <c r="A75" s="110">
        <v>57</v>
      </c>
      <c r="B75" s="139"/>
      <c r="C75" s="140" t="s">
        <v>145</v>
      </c>
      <c r="D75" s="140" t="s">
        <v>2081</v>
      </c>
      <c r="E75" s="141" t="s">
        <v>2082</v>
      </c>
      <c r="F75" s="142" t="str">
        <f t="shared" si="24"/>
        <v>26 años 1 meses 17 días</v>
      </c>
      <c r="G75" s="143">
        <v>0.75</v>
      </c>
      <c r="H75" s="110" t="str">
        <f t="shared" si="25"/>
        <v>59 años 8 meses 27 días</v>
      </c>
      <c r="I75" s="110" t="str">
        <f t="shared" si="26"/>
        <v>13 años 1 meses 0 días</v>
      </c>
      <c r="J75" s="195" t="s">
        <v>13</v>
      </c>
      <c r="K75" s="196"/>
      <c r="L75" s="197"/>
      <c r="M75" s="144">
        <f>31510.28</f>
        <v>31510.28</v>
      </c>
      <c r="N75" s="115">
        <f t="shared" si="27"/>
        <v>23632.71</v>
      </c>
      <c r="O75" s="134"/>
      <c r="P75" s="134" t="s">
        <v>42</v>
      </c>
      <c r="Q75" s="115" t="s">
        <v>336</v>
      </c>
      <c r="R75" s="145">
        <v>35841</v>
      </c>
      <c r="S75" s="146">
        <v>45383</v>
      </c>
      <c r="T75" s="145">
        <v>23563</v>
      </c>
      <c r="U75" s="145">
        <v>40603</v>
      </c>
      <c r="V75" s="116"/>
      <c r="W75" s="116"/>
      <c r="X75" s="116"/>
      <c r="Y75" s="116"/>
      <c r="Z75" s="52"/>
      <c r="AA75" s="52"/>
      <c r="AB75" s="52"/>
      <c r="AC75" s="117"/>
      <c r="AD75" s="118" t="s">
        <v>35</v>
      </c>
      <c r="AE75" s="119" t="s">
        <v>36</v>
      </c>
      <c r="AF75" s="135" t="s">
        <v>37</v>
      </c>
      <c r="AH75" s="118"/>
      <c r="AI75" s="118"/>
      <c r="AJ75" s="118"/>
      <c r="AL75" s="118"/>
      <c r="AM75" s="118"/>
      <c r="AN75" s="118"/>
    </row>
    <row r="76" spans="1:40" s="93" customFormat="1" ht="39.950000000000003" customHeight="1" x14ac:dyDescent="0.25">
      <c r="A76" s="110">
        <v>58</v>
      </c>
      <c r="B76" s="139"/>
      <c r="C76" s="140" t="s">
        <v>145</v>
      </c>
      <c r="D76" s="140" t="s">
        <v>2083</v>
      </c>
      <c r="E76" s="141" t="s">
        <v>2084</v>
      </c>
      <c r="F76" s="142" t="str">
        <f t="shared" si="24"/>
        <v>26 años 8 meses 25 días</v>
      </c>
      <c r="G76" s="143">
        <v>0.77500000000000002</v>
      </c>
      <c r="H76" s="110" t="str">
        <f t="shared" si="25"/>
        <v>47 años 2 meses 18 días</v>
      </c>
      <c r="I76" s="110" t="str">
        <f t="shared" si="26"/>
        <v>10 años 6 meses 24 días</v>
      </c>
      <c r="J76" s="195" t="s">
        <v>13</v>
      </c>
      <c r="K76" s="196"/>
      <c r="L76" s="197"/>
      <c r="M76" s="144">
        <f>31510.28</f>
        <v>31510.28</v>
      </c>
      <c r="N76" s="115">
        <f t="shared" si="27"/>
        <v>24420.467000000001</v>
      </c>
      <c r="O76" s="134"/>
      <c r="P76" s="134"/>
      <c r="Q76" s="115" t="s">
        <v>336</v>
      </c>
      <c r="R76" s="145">
        <v>35961</v>
      </c>
      <c r="S76" s="146">
        <v>45383</v>
      </c>
      <c r="T76" s="145">
        <v>28139</v>
      </c>
      <c r="U76" s="145">
        <v>41525</v>
      </c>
      <c r="V76" s="116">
        <v>34821</v>
      </c>
      <c r="W76" s="116">
        <v>35165</v>
      </c>
      <c r="X76" s="116"/>
      <c r="Y76" s="116"/>
      <c r="Z76" s="52"/>
      <c r="AA76" s="52"/>
      <c r="AB76" s="52"/>
      <c r="AC76" s="117"/>
      <c r="AD76" s="118" t="s">
        <v>48</v>
      </c>
      <c r="AE76" s="119" t="s">
        <v>36</v>
      </c>
      <c r="AF76" s="120"/>
      <c r="AH76" s="118">
        <v>1</v>
      </c>
      <c r="AI76" s="118"/>
      <c r="AJ76" s="118"/>
      <c r="AL76" s="118"/>
      <c r="AM76" s="118">
        <v>12</v>
      </c>
      <c r="AN76" s="118"/>
    </row>
    <row r="77" spans="1:40" s="93" customFormat="1" ht="39.950000000000003" customHeight="1" x14ac:dyDescent="0.25">
      <c r="A77" s="110">
        <v>59</v>
      </c>
      <c r="B77" s="139"/>
      <c r="C77" s="140" t="s">
        <v>145</v>
      </c>
      <c r="D77" s="140" t="s">
        <v>2085</v>
      </c>
      <c r="E77" s="141" t="s">
        <v>2086</v>
      </c>
      <c r="F77" s="142" t="str">
        <f t="shared" si="24"/>
        <v>22 años 10 meses 22 días</v>
      </c>
      <c r="G77" s="143">
        <v>0.67500000000000004</v>
      </c>
      <c r="H77" s="110" t="str">
        <f t="shared" si="25"/>
        <v>47 años 5 meses 3 días</v>
      </c>
      <c r="I77" s="110" t="str">
        <f t="shared" si="26"/>
        <v>4 años 1 meses 5 días</v>
      </c>
      <c r="J77" s="195"/>
      <c r="K77" s="196"/>
      <c r="L77" s="197"/>
      <c r="M77" s="144">
        <v>30394.94</v>
      </c>
      <c r="N77" s="115">
        <f t="shared" si="27"/>
        <v>20516.584500000001</v>
      </c>
      <c r="O77" s="134"/>
      <c r="P77" s="134" t="s">
        <v>42</v>
      </c>
      <c r="Q77" s="115" t="s">
        <v>336</v>
      </c>
      <c r="R77" s="145">
        <v>37021</v>
      </c>
      <c r="S77" s="146">
        <v>45383</v>
      </c>
      <c r="T77" s="145">
        <v>28062</v>
      </c>
      <c r="U77" s="145">
        <v>43888</v>
      </c>
      <c r="V77" s="116"/>
      <c r="W77" s="116"/>
      <c r="X77" s="116"/>
      <c r="Y77" s="116"/>
      <c r="Z77" s="52"/>
      <c r="AA77" s="52"/>
      <c r="AB77" s="52"/>
      <c r="AC77" s="117"/>
      <c r="AD77" s="118" t="s">
        <v>48</v>
      </c>
      <c r="AE77" s="119" t="s">
        <v>36</v>
      </c>
      <c r="AF77" s="135" t="s">
        <v>37</v>
      </c>
      <c r="AH77" s="118"/>
      <c r="AI77" s="118"/>
      <c r="AJ77" s="118"/>
      <c r="AL77" s="118"/>
      <c r="AM77" s="118"/>
      <c r="AN77" s="118"/>
    </row>
    <row r="78" spans="1:40" s="93" customFormat="1" ht="39.950000000000003" customHeight="1" x14ac:dyDescent="0.25">
      <c r="A78" s="110">
        <v>60</v>
      </c>
      <c r="B78" s="139"/>
      <c r="C78" s="140" t="s">
        <v>145</v>
      </c>
      <c r="D78" s="140" t="s">
        <v>2087</v>
      </c>
      <c r="E78" s="141" t="s">
        <v>2088</v>
      </c>
      <c r="F78" s="142" t="str">
        <f t="shared" si="24"/>
        <v>27 años 4 meses 4 días</v>
      </c>
      <c r="G78" s="143">
        <v>0.77500000000000002</v>
      </c>
      <c r="H78" s="110" t="str">
        <f t="shared" si="25"/>
        <v>46 años 6 meses 16 días</v>
      </c>
      <c r="I78" s="110" t="str">
        <f t="shared" si="26"/>
        <v>9 años 1 meses 5 días</v>
      </c>
      <c r="J78" s="195"/>
      <c r="K78" s="196"/>
      <c r="L78" s="197"/>
      <c r="M78" s="144">
        <f>31510.28</f>
        <v>31510.28</v>
      </c>
      <c r="N78" s="115">
        <f t="shared" si="27"/>
        <v>24420.467000000001</v>
      </c>
      <c r="O78" s="134"/>
      <c r="P78" s="134" t="s">
        <v>42</v>
      </c>
      <c r="Q78" s="115" t="s">
        <v>336</v>
      </c>
      <c r="R78" s="145">
        <v>36008</v>
      </c>
      <c r="S78" s="146">
        <v>45383</v>
      </c>
      <c r="T78" s="145">
        <v>28384</v>
      </c>
      <c r="U78" s="145">
        <v>42062</v>
      </c>
      <c r="V78" s="116">
        <v>35076</v>
      </c>
      <c r="W78" s="116">
        <v>35689</v>
      </c>
      <c r="X78" s="116"/>
      <c r="Y78" s="116"/>
      <c r="Z78" s="52"/>
      <c r="AA78" s="52"/>
      <c r="AB78" s="52"/>
      <c r="AC78" s="117"/>
      <c r="AD78" s="118" t="s">
        <v>48</v>
      </c>
      <c r="AE78" s="119" t="s">
        <v>36</v>
      </c>
      <c r="AF78" s="135" t="s">
        <v>37</v>
      </c>
      <c r="AH78" s="118">
        <v>1</v>
      </c>
      <c r="AI78" s="118"/>
      <c r="AJ78" s="118"/>
      <c r="AL78" s="118"/>
      <c r="AM78" s="118">
        <v>12</v>
      </c>
      <c r="AN78" s="118"/>
    </row>
    <row r="79" spans="1:40" s="93" customFormat="1" ht="39.950000000000003" customHeight="1" x14ac:dyDescent="0.25">
      <c r="A79" s="110">
        <v>61</v>
      </c>
      <c r="B79" s="110"/>
      <c r="C79" s="140" t="s">
        <v>145</v>
      </c>
      <c r="D79" s="140" t="s">
        <v>2089</v>
      </c>
      <c r="E79" s="156" t="s">
        <v>2090</v>
      </c>
      <c r="F79" s="110" t="str">
        <f t="shared" ref="F79:F81" si="28">DATEDIF(R79,S79,"y") + DATEDIF(V79,W79,"y") + DATEDIF(X79,Y79,"y") + SUM(AH79) &amp; " años " &amp; DATEDIF(R79,S79,"ym") + DATEDIF(V79,W79,"ym") + DATEDIF(X79,Y79,"ym") + SUM(AI79) - SUM(AM79) &amp; " meses " &amp; DATEDIF(R79,S79,"md") + DATEDIF(V79,W79,"md") + DATEDIF(X79,Y79,"md") - SUM(AN79) &amp; " días"</f>
        <v>24 años 10 meses 27 días</v>
      </c>
      <c r="G79" s="149">
        <v>1</v>
      </c>
      <c r="H79" s="110" t="str">
        <f t="shared" si="25"/>
        <v>45 años 7 meses 29 días</v>
      </c>
      <c r="I79" s="110" t="str">
        <f t="shared" si="26"/>
        <v>8 años 1 meses 0 días</v>
      </c>
      <c r="J79" s="195"/>
      <c r="K79" s="196"/>
      <c r="L79" s="197"/>
      <c r="M79" s="151">
        <v>31510.28</v>
      </c>
      <c r="N79" s="115">
        <f t="shared" si="27"/>
        <v>31510.28</v>
      </c>
      <c r="O79" s="134" t="s">
        <v>2064</v>
      </c>
      <c r="P79" s="134" t="s">
        <v>33</v>
      </c>
      <c r="Q79" s="115" t="s">
        <v>337</v>
      </c>
      <c r="R79" s="145">
        <v>37544</v>
      </c>
      <c r="S79" s="146">
        <v>45383</v>
      </c>
      <c r="T79" s="145">
        <v>28705</v>
      </c>
      <c r="U79" s="145">
        <v>42430</v>
      </c>
      <c r="V79" s="116">
        <v>35462</v>
      </c>
      <c r="W79" s="116">
        <v>36718</v>
      </c>
      <c r="X79" s="116"/>
      <c r="Y79" s="116"/>
      <c r="Z79" s="52"/>
      <c r="AA79" s="52"/>
      <c r="AB79" s="52"/>
      <c r="AC79" s="117"/>
      <c r="AD79" s="118" t="s">
        <v>35</v>
      </c>
      <c r="AE79" s="119" t="s">
        <v>36</v>
      </c>
      <c r="AF79" s="135" t="s">
        <v>37</v>
      </c>
      <c r="AH79" s="118"/>
      <c r="AI79" s="118"/>
      <c r="AJ79" s="118"/>
      <c r="AL79" s="118"/>
      <c r="AM79" s="118"/>
      <c r="AN79" s="118"/>
    </row>
    <row r="80" spans="1:40" s="93" customFormat="1" ht="39.950000000000003" customHeight="1" x14ac:dyDescent="0.25">
      <c r="A80" s="110">
        <v>62</v>
      </c>
      <c r="B80" s="110"/>
      <c r="C80" s="140" t="s">
        <v>145</v>
      </c>
      <c r="D80" s="140" t="s">
        <v>2091</v>
      </c>
      <c r="E80" s="156" t="s">
        <v>2092</v>
      </c>
      <c r="F80" s="110" t="str">
        <f t="shared" si="28"/>
        <v>24 años 5 meses 17 días</v>
      </c>
      <c r="G80" s="149">
        <v>1</v>
      </c>
      <c r="H80" s="110" t="str">
        <f t="shared" si="25"/>
        <v>54 años 3 meses 0 días</v>
      </c>
      <c r="I80" s="110" t="str">
        <f t="shared" si="26"/>
        <v>7 años 1 meses 0 días</v>
      </c>
      <c r="J80" s="195"/>
      <c r="K80" s="196"/>
      <c r="L80" s="197"/>
      <c r="M80" s="151">
        <v>31510.28</v>
      </c>
      <c r="N80" s="115">
        <f t="shared" si="27"/>
        <v>31510.28</v>
      </c>
      <c r="O80" s="134" t="s">
        <v>2064</v>
      </c>
      <c r="P80" s="134" t="s">
        <v>33</v>
      </c>
      <c r="Q80" s="115" t="s">
        <v>337</v>
      </c>
      <c r="R80" s="145">
        <v>36693</v>
      </c>
      <c r="S80" s="146">
        <v>45383</v>
      </c>
      <c r="T80" s="145">
        <v>25569</v>
      </c>
      <c r="U80" s="145">
        <v>42795</v>
      </c>
      <c r="V80" s="116">
        <v>32540</v>
      </c>
      <c r="W80" s="116">
        <v>32783</v>
      </c>
      <c r="X80" s="116"/>
      <c r="Y80" s="116"/>
      <c r="Z80" s="52"/>
      <c r="AA80" s="52"/>
      <c r="AB80" s="52"/>
      <c r="AC80" s="117"/>
      <c r="AD80" s="118" t="s">
        <v>134</v>
      </c>
      <c r="AE80" s="119" t="s">
        <v>36</v>
      </c>
      <c r="AF80" s="135" t="s">
        <v>37</v>
      </c>
      <c r="AH80" s="118">
        <v>1</v>
      </c>
      <c r="AI80" s="118"/>
      <c r="AJ80" s="118"/>
      <c r="AL80" s="118"/>
      <c r="AM80" s="118">
        <v>12</v>
      </c>
      <c r="AN80" s="118"/>
    </row>
    <row r="81" spans="1:40" s="93" customFormat="1" ht="39.950000000000003" customHeight="1" x14ac:dyDescent="0.25">
      <c r="A81" s="110">
        <v>63</v>
      </c>
      <c r="B81" s="110"/>
      <c r="C81" s="140" t="s">
        <v>145</v>
      </c>
      <c r="D81" s="140" t="s">
        <v>2093</v>
      </c>
      <c r="E81" s="157" t="s">
        <v>2094</v>
      </c>
      <c r="F81" s="110" t="str">
        <f t="shared" si="28"/>
        <v>23 años 1 meses 2 días</v>
      </c>
      <c r="G81" s="149">
        <v>1</v>
      </c>
      <c r="H81" s="110" t="str">
        <f t="shared" si="25"/>
        <v>52 años 1 meses 23 días</v>
      </c>
      <c r="I81" s="110" t="str">
        <f t="shared" si="26"/>
        <v>6 años 1 meses 5 días</v>
      </c>
      <c r="J81" s="195"/>
      <c r="K81" s="196"/>
      <c r="L81" s="197"/>
      <c r="M81" s="151">
        <v>31510.28</v>
      </c>
      <c r="N81" s="115">
        <f t="shared" si="27"/>
        <v>31510.28</v>
      </c>
      <c r="O81" s="134" t="s">
        <v>2064</v>
      </c>
      <c r="P81" s="134"/>
      <c r="Q81" s="115" t="s">
        <v>337</v>
      </c>
      <c r="R81" s="145">
        <v>38412</v>
      </c>
      <c r="S81" s="146">
        <v>45383</v>
      </c>
      <c r="T81" s="145">
        <v>26338</v>
      </c>
      <c r="U81" s="145">
        <v>43158</v>
      </c>
      <c r="V81" s="116">
        <v>36557</v>
      </c>
      <c r="W81" s="116">
        <v>38020</v>
      </c>
      <c r="X81" s="116"/>
      <c r="Y81" s="116"/>
      <c r="Z81" s="52"/>
      <c r="AA81" s="52"/>
      <c r="AB81" s="52"/>
      <c r="AC81" s="117"/>
      <c r="AD81" s="118" t="s">
        <v>1032</v>
      </c>
      <c r="AE81" s="119" t="s">
        <v>36</v>
      </c>
      <c r="AF81" s="120"/>
      <c r="AH81" s="118"/>
      <c r="AI81" s="118"/>
      <c r="AJ81" s="118"/>
      <c r="AL81" s="118"/>
      <c r="AM81" s="118"/>
      <c r="AN81" s="118"/>
    </row>
    <row r="82" spans="1:40" s="93" customFormat="1" ht="39.950000000000003" customHeight="1" x14ac:dyDescent="0.25">
      <c r="A82" s="110">
        <v>64</v>
      </c>
      <c r="B82" s="141"/>
      <c r="C82" s="140" t="s">
        <v>149</v>
      </c>
      <c r="D82" s="140" t="s">
        <v>2095</v>
      </c>
      <c r="E82" s="141" t="s">
        <v>2096</v>
      </c>
      <c r="F82" s="142" t="str">
        <f>DATEDIF(R82,S82,"y") + DATEDIF(V82,W82,"y") + DATEDIF(X82,Y82,"y") + SUM(AH82) &amp; " años " &amp; DATEDIF(R82,S82,"ym") + DATEDIF(V82,W82,"ym") + DATEDIF(X82,Y82,"ym") + SUM(AI82) - SUM(AM82) &amp; " meses " &amp; DATEDIF(R82,S82,"md") + DATEDIF(V82,W82,"md") + DATEDIF(X82,Y82,"md") - SUM(AN82) &amp; " días"</f>
        <v>20 años 0 meses 3 días</v>
      </c>
      <c r="G82" s="149">
        <v>0.6</v>
      </c>
      <c r="H82" s="110" t="str">
        <f>DATEDIF(T82,S82,"y") &amp; " años " &amp; DATEDIF(T82,S82,"ym") &amp; " meses " &amp; DATEDIF(T82,S82,"md") &amp; " días"</f>
        <v>47 años 2 meses 13 días</v>
      </c>
      <c r="I82" s="110" t="str">
        <f>DATEDIF(U82,S82,"y") &amp; " años " &amp; DATEDIF(U82,S82,"ym") &amp; " meses " &amp; DATEDIF(U82,S82,"md") &amp; " días"</f>
        <v>3 años 10 meses 15 días</v>
      </c>
      <c r="J82" s="195"/>
      <c r="K82" s="196"/>
      <c r="L82" s="197"/>
      <c r="M82" s="144">
        <v>22588.39</v>
      </c>
      <c r="N82" s="158">
        <f>M82*G82</f>
        <v>13553.034</v>
      </c>
      <c r="O82" s="134" t="s">
        <v>158</v>
      </c>
      <c r="P82" s="134" t="s">
        <v>42</v>
      </c>
      <c r="Q82" s="115" t="s">
        <v>339</v>
      </c>
      <c r="R82" s="145">
        <v>37994</v>
      </c>
      <c r="S82" s="146">
        <v>45302</v>
      </c>
      <c r="T82" s="145">
        <v>28062</v>
      </c>
      <c r="U82" s="145">
        <v>43888</v>
      </c>
      <c r="V82" s="116"/>
      <c r="W82" s="116"/>
      <c r="X82" s="116"/>
      <c r="Y82" s="116"/>
      <c r="Z82" s="52"/>
      <c r="AA82" s="52"/>
      <c r="AB82" s="52"/>
      <c r="AC82" s="117"/>
      <c r="AD82" s="118" t="s">
        <v>268</v>
      </c>
      <c r="AE82" s="119" t="s">
        <v>36</v>
      </c>
      <c r="AF82" s="135" t="s">
        <v>37</v>
      </c>
      <c r="AH82" s="118"/>
      <c r="AI82" s="118"/>
      <c r="AJ82" s="118"/>
      <c r="AL82" s="118"/>
      <c r="AM82" s="118"/>
      <c r="AN82" s="118"/>
    </row>
    <row r="83" spans="1:40" s="93" customFormat="1" ht="39.950000000000003" customHeight="1" x14ac:dyDescent="0.25">
      <c r="A83" s="110">
        <v>65</v>
      </c>
      <c r="B83" s="141"/>
      <c r="C83" s="140" t="s">
        <v>149</v>
      </c>
      <c r="D83" s="140" t="s">
        <v>2097</v>
      </c>
      <c r="E83" s="141" t="s">
        <v>2098</v>
      </c>
      <c r="F83" s="142" t="str">
        <f t="shared" ref="F83:F86" si="29">DATEDIF(R83,S83,"y") + DATEDIF(V83,W83,"y") + DATEDIF(X83,Y83,"y") + SUM(AH83) &amp; " años " &amp; DATEDIF(R83,S83,"ym") + DATEDIF(V83,W83,"ym") + DATEDIF(X83,Y83,"ym") + SUM(AI83) - SUM(AM83) &amp; " meses " &amp; DATEDIF(R83,S83,"md") + DATEDIF(V83,W83,"md") + DATEDIF(X83,Y83,"md") - SUM(AN83) &amp; " días"</f>
        <v>20 años 0 meses 7 días</v>
      </c>
      <c r="G83" s="143">
        <v>0.6</v>
      </c>
      <c r="H83" s="110" t="str">
        <f t="shared" ref="H83:H89" si="30">DATEDIF(T83,S83,"y") &amp; " años " &amp; DATEDIF(T83,S83,"ym") &amp; " meses " &amp; DATEDIF(T83,S83,"md") &amp; " días"</f>
        <v>40 años 2 meses 6 días</v>
      </c>
      <c r="I83" s="110" t="str">
        <f t="shared" ref="I83:I89" si="31">DATEDIF(U83,S83,"y") &amp; " años " &amp; DATEDIF(U83,S83,"ym") &amp; " meses " &amp; DATEDIF(U83,S83,"md") &amp; " días"</f>
        <v>3 años 9 meses 15 días</v>
      </c>
      <c r="J83" s="195"/>
      <c r="K83" s="196"/>
      <c r="L83" s="197"/>
      <c r="M83" s="144">
        <v>22588.39</v>
      </c>
      <c r="N83" s="158">
        <f t="shared" ref="N83:N89" si="32">M83*G83</f>
        <v>13553.034</v>
      </c>
      <c r="O83" s="134" t="s">
        <v>158</v>
      </c>
      <c r="P83" s="134" t="s">
        <v>42</v>
      </c>
      <c r="Q83" s="115" t="s">
        <v>339</v>
      </c>
      <c r="R83" s="145">
        <v>37960</v>
      </c>
      <c r="S83" s="146">
        <v>45272</v>
      </c>
      <c r="T83" s="145">
        <v>30595</v>
      </c>
      <c r="U83" s="145">
        <v>43888</v>
      </c>
      <c r="V83" s="116"/>
      <c r="W83" s="116"/>
      <c r="X83" s="116"/>
      <c r="Y83" s="116"/>
      <c r="Z83" s="52"/>
      <c r="AA83" s="52"/>
      <c r="AB83" s="52"/>
      <c r="AC83" s="117"/>
      <c r="AD83" s="118" t="s">
        <v>268</v>
      </c>
      <c r="AE83" s="119" t="s">
        <v>36</v>
      </c>
      <c r="AF83" s="135" t="s">
        <v>37</v>
      </c>
      <c r="AH83" s="118"/>
      <c r="AI83" s="118"/>
      <c r="AJ83" s="118"/>
      <c r="AL83" s="118"/>
      <c r="AM83" s="118"/>
      <c r="AN83" s="118"/>
    </row>
    <row r="84" spans="1:40" s="93" customFormat="1" ht="39.950000000000003" customHeight="1" x14ac:dyDescent="0.25">
      <c r="A84" s="110">
        <v>66</v>
      </c>
      <c r="B84" s="141"/>
      <c r="C84" s="140" t="s">
        <v>149</v>
      </c>
      <c r="D84" s="140" t="s">
        <v>2099</v>
      </c>
      <c r="E84" s="141" t="s">
        <v>2100</v>
      </c>
      <c r="F84" s="142" t="str">
        <f t="shared" si="29"/>
        <v>20 años 0 meses 1 días</v>
      </c>
      <c r="G84" s="143">
        <v>0.6</v>
      </c>
      <c r="H84" s="110" t="str">
        <f t="shared" si="30"/>
        <v>52 años 7 meses 4 días</v>
      </c>
      <c r="I84" s="110" t="str">
        <f t="shared" si="31"/>
        <v>7 años 9 meses 1 días</v>
      </c>
      <c r="J84" s="195"/>
      <c r="K84" s="196"/>
      <c r="L84" s="197"/>
      <c r="M84" s="144">
        <v>23826.3</v>
      </c>
      <c r="N84" s="158">
        <f t="shared" si="32"/>
        <v>14295.779999999999</v>
      </c>
      <c r="O84" s="134" t="s">
        <v>158</v>
      </c>
      <c r="P84" s="134" t="s">
        <v>42</v>
      </c>
      <c r="Q84" s="115" t="s">
        <v>339</v>
      </c>
      <c r="R84" s="145">
        <v>37956</v>
      </c>
      <c r="S84" s="146">
        <v>45262</v>
      </c>
      <c r="T84" s="145">
        <v>26051</v>
      </c>
      <c r="U84" s="145">
        <v>42430</v>
      </c>
      <c r="V84" s="116"/>
      <c r="W84" s="116"/>
      <c r="X84" s="116"/>
      <c r="Y84" s="116"/>
      <c r="Z84" s="52"/>
      <c r="AA84" s="52"/>
      <c r="AB84" s="52"/>
      <c r="AC84" s="117"/>
      <c r="AD84" s="118" t="s">
        <v>268</v>
      </c>
      <c r="AE84" s="119" t="s">
        <v>36</v>
      </c>
      <c r="AF84" s="135" t="s">
        <v>37</v>
      </c>
      <c r="AH84" s="118"/>
      <c r="AI84" s="118"/>
      <c r="AJ84" s="118"/>
      <c r="AL84" s="118"/>
      <c r="AM84" s="118"/>
      <c r="AN84" s="118"/>
    </row>
    <row r="85" spans="1:40" s="93" customFormat="1" ht="39.950000000000003" customHeight="1" x14ac:dyDescent="0.25">
      <c r="A85" s="110">
        <v>67</v>
      </c>
      <c r="B85" s="141"/>
      <c r="C85" s="140" t="s">
        <v>149</v>
      </c>
      <c r="D85" s="140" t="s">
        <v>2101</v>
      </c>
      <c r="E85" s="141" t="s">
        <v>2102</v>
      </c>
      <c r="F85" s="142" t="str">
        <f t="shared" si="29"/>
        <v>24 años 0 meses 0 días</v>
      </c>
      <c r="G85" s="143">
        <v>0.7</v>
      </c>
      <c r="H85" s="110" t="str">
        <f t="shared" si="30"/>
        <v>41 años 2 meses 18 días</v>
      </c>
      <c r="I85" s="110" t="str">
        <f t="shared" si="31"/>
        <v>6 años 10 meses 10 días</v>
      </c>
      <c r="J85" s="195"/>
      <c r="K85" s="196"/>
      <c r="L85" s="197"/>
      <c r="M85" s="144">
        <v>23826.3</v>
      </c>
      <c r="N85" s="158">
        <f t="shared" si="32"/>
        <v>16678.41</v>
      </c>
      <c r="O85" s="134" t="s">
        <v>158</v>
      </c>
      <c r="P85" s="134" t="s">
        <v>42</v>
      </c>
      <c r="Q85" s="115" t="s">
        <v>339</v>
      </c>
      <c r="R85" s="145">
        <v>36536</v>
      </c>
      <c r="S85" s="146">
        <v>45302</v>
      </c>
      <c r="T85" s="145">
        <v>30248</v>
      </c>
      <c r="U85" s="145">
        <v>42795</v>
      </c>
      <c r="V85" s="116"/>
      <c r="W85" s="116"/>
      <c r="X85" s="116"/>
      <c r="Y85" s="116"/>
      <c r="Z85" s="52"/>
      <c r="AA85" s="52"/>
      <c r="AB85" s="52"/>
      <c r="AC85" s="117"/>
      <c r="AD85" s="118" t="s">
        <v>268</v>
      </c>
      <c r="AE85" s="119" t="s">
        <v>36</v>
      </c>
      <c r="AF85" s="135" t="s">
        <v>37</v>
      </c>
      <c r="AH85" s="118"/>
      <c r="AI85" s="118"/>
      <c r="AJ85" s="118"/>
      <c r="AL85" s="118"/>
      <c r="AM85" s="118"/>
      <c r="AN85" s="118"/>
    </row>
    <row r="86" spans="1:40" s="93" customFormat="1" ht="39.950000000000003" customHeight="1" x14ac:dyDescent="0.25">
      <c r="A86" s="110">
        <v>68</v>
      </c>
      <c r="B86" s="141"/>
      <c r="C86" s="140" t="s">
        <v>149</v>
      </c>
      <c r="D86" s="140" t="s">
        <v>2103</v>
      </c>
      <c r="E86" s="141" t="s">
        <v>2104</v>
      </c>
      <c r="F86" s="142" t="str">
        <f t="shared" si="29"/>
        <v>24 años 0 meses 1 días</v>
      </c>
      <c r="G86" s="143">
        <v>0.7</v>
      </c>
      <c r="H86" s="110" t="str">
        <f t="shared" si="30"/>
        <v>54 años 0 meses 1 días</v>
      </c>
      <c r="I86" s="110" t="str">
        <f t="shared" si="31"/>
        <v>7 años 10 meses 1 días</v>
      </c>
      <c r="J86" s="195"/>
      <c r="K86" s="196"/>
      <c r="L86" s="197"/>
      <c r="M86" s="144">
        <v>23826.3</v>
      </c>
      <c r="N86" s="158">
        <f t="shared" si="32"/>
        <v>16678.41</v>
      </c>
      <c r="O86" s="134" t="s">
        <v>158</v>
      </c>
      <c r="P86" s="134" t="s">
        <v>42</v>
      </c>
      <c r="Q86" s="115" t="s">
        <v>339</v>
      </c>
      <c r="R86" s="145">
        <v>36526</v>
      </c>
      <c r="S86" s="146">
        <v>45293</v>
      </c>
      <c r="T86" s="145">
        <v>25569</v>
      </c>
      <c r="U86" s="145">
        <v>42430</v>
      </c>
      <c r="V86" s="116"/>
      <c r="W86" s="116"/>
      <c r="X86" s="116"/>
      <c r="Y86" s="116"/>
      <c r="Z86" s="52"/>
      <c r="AA86" s="52"/>
      <c r="AB86" s="52"/>
      <c r="AC86" s="117"/>
      <c r="AD86" s="118" t="s">
        <v>268</v>
      </c>
      <c r="AE86" s="119" t="s">
        <v>36</v>
      </c>
      <c r="AF86" s="135" t="s">
        <v>37</v>
      </c>
      <c r="AH86" s="118"/>
      <c r="AI86" s="118"/>
      <c r="AJ86" s="118"/>
      <c r="AL86" s="118"/>
      <c r="AM86" s="118"/>
      <c r="AN86" s="118"/>
    </row>
    <row r="87" spans="1:40" s="93" customFormat="1" ht="39.950000000000003" customHeight="1" x14ac:dyDescent="0.25">
      <c r="A87" s="110">
        <v>69</v>
      </c>
      <c r="B87" s="110"/>
      <c r="C87" s="140" t="s">
        <v>1314</v>
      </c>
      <c r="D87" s="140" t="s">
        <v>2105</v>
      </c>
      <c r="E87" s="141" t="s">
        <v>2106</v>
      </c>
      <c r="F87" s="142" t="str">
        <f t="shared" ref="F87:F89" si="33">DATEDIF(R87,S87,"y") + DATEDIF(V87,W87,"y") + DATEDIF(X87,Y87,"y") + SUM(AH87) &amp; " años " &amp; DATEDIF(R87,S87,"ym") + DATEDIF(V87,W87,"ym") + DATEDIF(X87,Y87,"ym") + SUM(AI87) - SUM(AM87) &amp; " meses " &amp; DATEDIF(R87,S87,"md") + DATEDIF(V87,W87,"md") + DATEDIF(X87,Y87,"md") - SUM(AN87) &amp; " días"</f>
        <v>23 años 10 meses 0 días</v>
      </c>
      <c r="G87" s="143">
        <v>0.7</v>
      </c>
      <c r="H87" s="110" t="str">
        <f t="shared" si="30"/>
        <v>60 años 4 meses 16 días</v>
      </c>
      <c r="I87" s="110" t="str">
        <f t="shared" si="31"/>
        <v>10 años 1 meses 0 días</v>
      </c>
      <c r="J87" s="195"/>
      <c r="K87" s="196"/>
      <c r="L87" s="197"/>
      <c r="M87" s="144">
        <v>30394.94</v>
      </c>
      <c r="N87" s="115">
        <f t="shared" si="32"/>
        <v>21276.457999999999</v>
      </c>
      <c r="O87" s="134"/>
      <c r="P87" s="134" t="s">
        <v>42</v>
      </c>
      <c r="Q87" s="115" t="s">
        <v>339</v>
      </c>
      <c r="R87" s="145">
        <v>36678</v>
      </c>
      <c r="S87" s="146">
        <v>45383</v>
      </c>
      <c r="T87" s="145">
        <v>23331</v>
      </c>
      <c r="U87" s="145">
        <v>41699</v>
      </c>
      <c r="V87" s="116"/>
      <c r="W87" s="116"/>
      <c r="X87" s="116"/>
      <c r="Y87" s="116"/>
      <c r="Z87" s="52"/>
      <c r="AA87" s="52"/>
      <c r="AB87" s="52"/>
      <c r="AC87" s="117"/>
      <c r="AD87" s="118" t="s">
        <v>48</v>
      </c>
      <c r="AE87" s="119" t="s">
        <v>36</v>
      </c>
      <c r="AF87" s="135" t="s">
        <v>37</v>
      </c>
      <c r="AH87" s="118"/>
      <c r="AI87" s="118"/>
      <c r="AJ87" s="118"/>
      <c r="AL87" s="118"/>
      <c r="AM87" s="118"/>
      <c r="AN87" s="118"/>
    </row>
    <row r="88" spans="1:40" s="93" customFormat="1" ht="39.950000000000003" customHeight="1" x14ac:dyDescent="0.25">
      <c r="A88" s="110">
        <v>70</v>
      </c>
      <c r="B88" s="110"/>
      <c r="C88" s="140" t="s">
        <v>1314</v>
      </c>
      <c r="D88" s="140" t="s">
        <v>2107</v>
      </c>
      <c r="E88" s="141" t="s">
        <v>2108</v>
      </c>
      <c r="F88" s="142" t="str">
        <f t="shared" si="33"/>
        <v>23 años 9 meses 0 días</v>
      </c>
      <c r="G88" s="143">
        <v>0.7</v>
      </c>
      <c r="H88" s="110" t="str">
        <f t="shared" si="30"/>
        <v>51 años 3 meses 0 días</v>
      </c>
      <c r="I88" s="110" t="str">
        <f t="shared" si="31"/>
        <v>10 años 1 meses 0 días</v>
      </c>
      <c r="J88" s="195"/>
      <c r="K88" s="196"/>
      <c r="L88" s="197"/>
      <c r="M88" s="144">
        <v>30394.94</v>
      </c>
      <c r="N88" s="115">
        <f t="shared" si="32"/>
        <v>21276.457999999999</v>
      </c>
      <c r="O88" s="134"/>
      <c r="P88" s="134" t="s">
        <v>42</v>
      </c>
      <c r="Q88" s="115" t="s">
        <v>336</v>
      </c>
      <c r="R88" s="145">
        <v>36708</v>
      </c>
      <c r="S88" s="146">
        <v>45383</v>
      </c>
      <c r="T88" s="145">
        <v>26665</v>
      </c>
      <c r="U88" s="145">
        <v>41699</v>
      </c>
      <c r="V88" s="116"/>
      <c r="W88" s="116"/>
      <c r="X88" s="116"/>
      <c r="Y88" s="116"/>
      <c r="Z88" s="52"/>
      <c r="AA88" s="52"/>
      <c r="AB88" s="52"/>
      <c r="AC88" s="117"/>
      <c r="AD88" s="118" t="s">
        <v>48</v>
      </c>
      <c r="AE88" s="119" t="s">
        <v>36</v>
      </c>
      <c r="AF88" s="135" t="s">
        <v>37</v>
      </c>
      <c r="AH88" s="118"/>
      <c r="AI88" s="118"/>
      <c r="AJ88" s="118"/>
      <c r="AL88" s="118"/>
      <c r="AM88" s="118"/>
      <c r="AN88" s="118"/>
    </row>
    <row r="89" spans="1:40" s="93" customFormat="1" ht="39.950000000000003" customHeight="1" x14ac:dyDescent="0.25">
      <c r="A89" s="110">
        <v>71</v>
      </c>
      <c r="B89" s="110"/>
      <c r="C89" s="140" t="s">
        <v>1314</v>
      </c>
      <c r="D89" s="140" t="s">
        <v>2109</v>
      </c>
      <c r="E89" s="141" t="s">
        <v>2110</v>
      </c>
      <c r="F89" s="142" t="str">
        <f t="shared" si="33"/>
        <v>23 años 11 meses 0 días</v>
      </c>
      <c r="G89" s="143">
        <v>0.7</v>
      </c>
      <c r="H89" s="110" t="str">
        <f t="shared" si="30"/>
        <v>51 años 3 meses 0 días</v>
      </c>
      <c r="I89" s="110" t="str">
        <f t="shared" si="31"/>
        <v>10 años 1 meses 0 días</v>
      </c>
      <c r="J89" s="195"/>
      <c r="K89" s="196"/>
      <c r="L89" s="197"/>
      <c r="M89" s="144">
        <v>30394.94</v>
      </c>
      <c r="N89" s="115">
        <f t="shared" si="32"/>
        <v>21276.457999999999</v>
      </c>
      <c r="O89" s="134"/>
      <c r="P89" s="134" t="s">
        <v>42</v>
      </c>
      <c r="Q89" s="115" t="s">
        <v>336</v>
      </c>
      <c r="R89" s="145">
        <v>36647</v>
      </c>
      <c r="S89" s="146">
        <v>45383</v>
      </c>
      <c r="T89" s="145">
        <v>26665</v>
      </c>
      <c r="U89" s="145">
        <v>41699</v>
      </c>
      <c r="V89" s="116"/>
      <c r="W89" s="116"/>
      <c r="X89" s="116"/>
      <c r="Y89" s="116"/>
      <c r="Z89" s="52"/>
      <c r="AA89" s="52"/>
      <c r="AB89" s="52"/>
      <c r="AC89" s="117"/>
      <c r="AD89" s="118" t="s">
        <v>48</v>
      </c>
      <c r="AE89" s="119" t="s">
        <v>36</v>
      </c>
      <c r="AF89" s="135" t="s">
        <v>37</v>
      </c>
      <c r="AH89" s="118"/>
      <c r="AI89" s="118"/>
      <c r="AJ89" s="118"/>
      <c r="AL89" s="118"/>
      <c r="AM89" s="118"/>
      <c r="AN89" s="118"/>
    </row>
    <row r="90" spans="1:40" s="93" customFormat="1" ht="39.950000000000003" customHeight="1" x14ac:dyDescent="0.25">
      <c r="A90" s="110">
        <v>72</v>
      </c>
      <c r="B90" s="141"/>
      <c r="C90" s="140" t="s">
        <v>176</v>
      </c>
      <c r="D90" s="140" t="s">
        <v>2111</v>
      </c>
      <c r="E90" s="141" t="s">
        <v>2112</v>
      </c>
      <c r="F90" s="142" t="str">
        <f>DATEDIF(R90,S90,"y") + DATEDIF(V90,W90,"y") + DATEDIF(X90,Y90,"y") + SUM(AH90) &amp; " años " &amp; DATEDIF(R90,S90,"ym") + DATEDIF(V90,W90,"ym") + DATEDIF(X90,Y90,"ym") + SUM(AI90) - SUM(AM90) &amp; " meses " &amp; DATEDIF(R90,S90,"md") + DATEDIF(V90,W90,"md") + DATEDIF(X90,Y90,"md") - SUM(AN90) &amp; " días"</f>
        <v>20 años 0 meses 1 días</v>
      </c>
      <c r="G90" s="143">
        <v>0.6</v>
      </c>
      <c r="H90" s="110" t="str">
        <f>DATEDIF(T90,S90,"y") &amp; " años " &amp; DATEDIF(T90,S90,"ym") &amp; " meses " &amp; DATEDIF(T90,S90,"md") &amp; " días"</f>
        <v>57 años 2 meses 19 días</v>
      </c>
      <c r="I90" s="110" t="str">
        <f>DATEDIF(U90,S90,"y") &amp; " años " &amp; DATEDIF(U90,S90,"ym") &amp; " meses " &amp; DATEDIF(U90,S90,"md") &amp; " días"</f>
        <v>7 años 10 meses 7 días</v>
      </c>
      <c r="J90" s="195"/>
      <c r="K90" s="196"/>
      <c r="L90" s="197"/>
      <c r="M90" s="144">
        <v>22588.39</v>
      </c>
      <c r="N90" s="158">
        <f>M90*G90</f>
        <v>13553.034</v>
      </c>
      <c r="O90" s="134" t="s">
        <v>158</v>
      </c>
      <c r="P90" s="134" t="s">
        <v>42</v>
      </c>
      <c r="Q90" s="115" t="s">
        <v>339</v>
      </c>
      <c r="R90" s="145">
        <v>37993</v>
      </c>
      <c r="S90" s="146">
        <v>45299</v>
      </c>
      <c r="T90" s="145">
        <v>24400</v>
      </c>
      <c r="U90" s="145">
        <v>42430</v>
      </c>
      <c r="V90" s="116"/>
      <c r="W90" s="116"/>
      <c r="X90" s="116"/>
      <c r="Y90" s="116"/>
      <c r="Z90" s="52"/>
      <c r="AA90" s="52"/>
      <c r="AB90" s="52"/>
      <c r="AC90" s="117"/>
      <c r="AD90" s="118" t="s">
        <v>268</v>
      </c>
      <c r="AE90" s="119" t="s">
        <v>36</v>
      </c>
      <c r="AF90" s="135" t="s">
        <v>37</v>
      </c>
      <c r="AH90" s="118"/>
      <c r="AI90" s="118"/>
      <c r="AJ90" s="118"/>
      <c r="AL90" s="118"/>
      <c r="AM90" s="118"/>
      <c r="AN90" s="118"/>
    </row>
    <row r="91" spans="1:40" s="93" customFormat="1" ht="39.950000000000003" customHeight="1" x14ac:dyDescent="0.25">
      <c r="A91" s="110">
        <v>73</v>
      </c>
      <c r="B91" s="141"/>
      <c r="C91" s="140" t="s">
        <v>176</v>
      </c>
      <c r="D91" s="140" t="s">
        <v>2113</v>
      </c>
      <c r="E91" s="141" t="s">
        <v>2114</v>
      </c>
      <c r="F91" s="142" t="str">
        <f>DATEDIF(R91,S91,"y") + DATEDIF(V91,W91,"y") + DATEDIF(X91,Y91,"y") + SUM(AH91) &amp; " años " &amp; DATEDIF(R91,S91,"ym") + DATEDIF(V91,W91,"ym") + DATEDIF(X91,Y91,"ym") + SUM(AI91) - SUM(AM91) &amp; " meses " &amp; DATEDIF(R91,S91,"md") + DATEDIF(V91,W91,"md") + DATEDIF(X91,Y91,"md") - SUM(AN91) &amp; " días"</f>
        <v>20 años 0 meses 0 días</v>
      </c>
      <c r="G91" s="143">
        <v>0.6</v>
      </c>
      <c r="H91" s="110" t="str">
        <f>DATEDIF(T91,S91,"y") &amp; " años " &amp; DATEDIF(T91,S91,"ym") &amp; " meses " &amp; DATEDIF(T91,S91,"md") &amp; " días"</f>
        <v>72 años 5 meses 26 días</v>
      </c>
      <c r="I91" s="110" t="str">
        <f>DATEDIF(U91,S91,"y") &amp; " años " &amp; DATEDIF(U91,S91,"ym") &amp; " meses " &amp; DATEDIF(U91,S91,"md") &amp; " días"</f>
        <v>7 años 9 meses 5 días</v>
      </c>
      <c r="J91" s="195"/>
      <c r="K91" s="196"/>
      <c r="L91" s="197"/>
      <c r="M91" s="144">
        <v>22588.39</v>
      </c>
      <c r="N91" s="158">
        <f>M91*G91</f>
        <v>13553.034</v>
      </c>
      <c r="O91" s="134" t="s">
        <v>158</v>
      </c>
      <c r="P91" s="134" t="s">
        <v>42</v>
      </c>
      <c r="Q91" s="115" t="s">
        <v>339</v>
      </c>
      <c r="R91" s="145">
        <v>37961</v>
      </c>
      <c r="S91" s="146">
        <v>45266</v>
      </c>
      <c r="T91" s="145">
        <v>18789</v>
      </c>
      <c r="U91" s="145">
        <v>42430</v>
      </c>
      <c r="V91" s="116"/>
      <c r="W91" s="116"/>
      <c r="X91" s="116"/>
      <c r="Y91" s="116"/>
      <c r="Z91" s="52"/>
      <c r="AA91" s="52"/>
      <c r="AB91" s="52"/>
      <c r="AC91" s="117"/>
      <c r="AD91" s="118" t="s">
        <v>268</v>
      </c>
      <c r="AE91" s="119" t="s">
        <v>36</v>
      </c>
      <c r="AF91" s="135" t="s">
        <v>37</v>
      </c>
      <c r="AH91" s="118"/>
      <c r="AI91" s="118"/>
      <c r="AJ91" s="118"/>
      <c r="AL91" s="118"/>
      <c r="AM91" s="118"/>
      <c r="AN91" s="118"/>
    </row>
    <row r="93" spans="1:40" s="91" customFormat="1" ht="15" hidden="1" customHeight="1" x14ac:dyDescent="0.25">
      <c r="A93" s="184" t="s">
        <v>184</v>
      </c>
      <c r="B93" s="185"/>
      <c r="C93" s="185"/>
      <c r="D93" s="185"/>
      <c r="E93" s="185"/>
      <c r="F93" s="185"/>
      <c r="G93" s="185"/>
      <c r="H93" s="185"/>
      <c r="I93" s="185"/>
      <c r="J93" s="185"/>
      <c r="K93" s="185"/>
      <c r="L93" s="185"/>
      <c r="M93" s="185"/>
      <c r="N93" s="186"/>
      <c r="O93" s="106"/>
      <c r="P93" s="107"/>
      <c r="Q93" s="107"/>
      <c r="R93" s="107"/>
      <c r="S93" s="90"/>
      <c r="T93" s="90"/>
      <c r="Z93" s="52"/>
      <c r="AA93" s="52"/>
      <c r="AB93" s="52"/>
      <c r="AD93" s="92"/>
      <c r="AG93" s="93"/>
      <c r="AH93" s="187" t="s">
        <v>2</v>
      </c>
      <c r="AI93" s="188"/>
      <c r="AJ93" s="189"/>
      <c r="AL93" s="187" t="s">
        <v>3</v>
      </c>
      <c r="AM93" s="188"/>
      <c r="AN93" s="189"/>
    </row>
    <row r="94" spans="1:40" s="104" customFormat="1" ht="42.75" hidden="1" customHeight="1" x14ac:dyDescent="0.25">
      <c r="A94" s="94" t="s">
        <v>4</v>
      </c>
      <c r="B94" s="94" t="s">
        <v>5</v>
      </c>
      <c r="C94" s="95" t="s">
        <v>6</v>
      </c>
      <c r="D94" s="95" t="s">
        <v>7</v>
      </c>
      <c r="E94" s="94" t="s">
        <v>8</v>
      </c>
      <c r="F94" s="96" t="s">
        <v>9</v>
      </c>
      <c r="G94" s="96" t="s">
        <v>10</v>
      </c>
      <c r="H94" s="95" t="s">
        <v>11</v>
      </c>
      <c r="I94" s="97" t="s">
        <v>12</v>
      </c>
      <c r="J94" s="182" t="s">
        <v>1952</v>
      </c>
      <c r="K94" s="183"/>
      <c r="L94" s="95"/>
      <c r="M94" s="99" t="s">
        <v>15</v>
      </c>
      <c r="N94" s="99" t="s">
        <v>16</v>
      </c>
      <c r="O94" s="99"/>
      <c r="P94" s="99"/>
      <c r="Q94" s="99"/>
      <c r="R94" s="99"/>
      <c r="S94" s="99" t="s">
        <v>19</v>
      </c>
      <c r="T94" s="99" t="s">
        <v>20</v>
      </c>
      <c r="U94" s="99" t="s">
        <v>21</v>
      </c>
      <c r="V94" s="99" t="s">
        <v>13</v>
      </c>
      <c r="W94" s="99" t="s">
        <v>19</v>
      </c>
      <c r="X94" s="99" t="s">
        <v>20</v>
      </c>
      <c r="Y94" s="99" t="s">
        <v>19</v>
      </c>
      <c r="Z94" s="99" t="s">
        <v>20</v>
      </c>
      <c r="AA94" s="52"/>
      <c r="AB94" s="52"/>
      <c r="AC94" s="102"/>
      <c r="AD94" s="108" t="s">
        <v>22</v>
      </c>
      <c r="AE94" s="108" t="s">
        <v>23</v>
      </c>
      <c r="AF94" s="108" t="s">
        <v>24</v>
      </c>
      <c r="AG94" s="93"/>
      <c r="AH94" s="109" t="s">
        <v>25</v>
      </c>
      <c r="AI94" s="109" t="s">
        <v>26</v>
      </c>
      <c r="AJ94" s="109" t="s">
        <v>27</v>
      </c>
      <c r="AK94" s="93"/>
      <c r="AL94" s="109" t="s">
        <v>25</v>
      </c>
      <c r="AM94" s="109" t="s">
        <v>26</v>
      </c>
      <c r="AN94" s="109" t="s">
        <v>28</v>
      </c>
    </row>
    <row r="95" spans="1:40" s="93" customFormat="1" ht="15" hidden="1" customHeight="1" x14ac:dyDescent="0.25">
      <c r="A95" s="110">
        <v>0</v>
      </c>
      <c r="B95" s="110"/>
      <c r="C95" s="111"/>
      <c r="D95" s="112"/>
      <c r="E95" s="113"/>
      <c r="F95" s="110"/>
      <c r="G95" s="114"/>
      <c r="H95" s="110"/>
      <c r="I95" s="110"/>
      <c r="J95" s="190"/>
      <c r="K95" s="190"/>
      <c r="L95" s="115"/>
      <c r="M95" s="115"/>
      <c r="N95" s="115"/>
      <c r="O95" s="115"/>
      <c r="P95" s="115"/>
      <c r="Q95" s="115"/>
      <c r="R95" s="115"/>
      <c r="S95" s="116"/>
      <c r="T95" s="116"/>
      <c r="U95" s="116"/>
      <c r="V95" s="116"/>
      <c r="W95" s="116"/>
      <c r="X95" s="116"/>
      <c r="Y95" s="116"/>
      <c r="Z95" s="116"/>
      <c r="AA95" s="52"/>
      <c r="AB95" s="52"/>
      <c r="AC95" s="117"/>
      <c r="AD95" s="118"/>
      <c r="AE95" s="119"/>
      <c r="AF95" s="120"/>
      <c r="AH95" s="118"/>
      <c r="AI95" s="118"/>
      <c r="AJ95" s="118"/>
      <c r="AL95" s="118"/>
      <c r="AM95" s="118"/>
      <c r="AN95" s="118"/>
    </row>
    <row r="96" spans="1:40" s="129" customFormat="1" ht="15" hidden="1" customHeight="1" x14ac:dyDescent="0.25">
      <c r="A96" s="192" t="s">
        <v>1953</v>
      </c>
      <c r="B96" s="193"/>
      <c r="C96" s="193"/>
      <c r="D96" s="193"/>
      <c r="E96" s="193"/>
      <c r="F96" s="193"/>
      <c r="G96" s="194"/>
      <c r="H96" s="121">
        <f>A95</f>
        <v>0</v>
      </c>
      <c r="I96" s="192" t="s">
        <v>1954</v>
      </c>
      <c r="J96" s="193"/>
      <c r="K96" s="193"/>
      <c r="L96" s="194"/>
      <c r="M96" s="122">
        <f>SUM(M95)</f>
        <v>0</v>
      </c>
      <c r="N96" s="123"/>
      <c r="O96" s="123"/>
      <c r="P96" s="123"/>
      <c r="Q96" s="124"/>
      <c r="R96" s="124"/>
      <c r="S96" s="125"/>
      <c r="T96" s="125"/>
      <c r="U96" s="126"/>
      <c r="V96" s="127"/>
      <c r="W96" s="127"/>
      <c r="X96" s="127"/>
      <c r="Y96" s="127"/>
      <c r="Z96" s="127"/>
      <c r="AA96" s="52"/>
      <c r="AB96" s="52"/>
      <c r="AC96" s="127"/>
      <c r="AD96" s="128"/>
      <c r="AE96" s="127"/>
      <c r="AF96" s="127"/>
      <c r="AG96" s="93"/>
    </row>
    <row r="97" spans="1:40" hidden="1" x14ac:dyDescent="0.25"/>
    <row r="98" spans="1:40" s="91" customFormat="1" x14ac:dyDescent="0.25">
      <c r="A98" s="191" t="s">
        <v>184</v>
      </c>
      <c r="B98" s="191"/>
      <c r="C98" s="191"/>
      <c r="D98" s="191"/>
      <c r="E98" s="191"/>
      <c r="F98" s="191"/>
      <c r="G98" s="191"/>
      <c r="H98" s="191"/>
      <c r="I98" s="191"/>
      <c r="J98" s="191"/>
      <c r="K98" s="191"/>
      <c r="L98" s="191"/>
      <c r="M98" s="191"/>
      <c r="N98" s="191"/>
      <c r="O98" s="191"/>
      <c r="P98" s="191"/>
      <c r="Q98" s="191"/>
      <c r="R98" s="138"/>
      <c r="S98" s="90"/>
      <c r="T98" s="90"/>
      <c r="Z98" s="52"/>
      <c r="AA98" s="52"/>
      <c r="AB98" s="52"/>
      <c r="AD98" s="92"/>
      <c r="AG98" s="93"/>
      <c r="AH98" s="181" t="s">
        <v>2</v>
      </c>
      <c r="AI98" s="181"/>
      <c r="AJ98" s="181"/>
      <c r="AL98" s="181" t="s">
        <v>3</v>
      </c>
      <c r="AM98" s="181"/>
      <c r="AN98" s="181"/>
    </row>
    <row r="99" spans="1:40" s="104" customFormat="1" ht="30" customHeight="1" x14ac:dyDescent="0.25">
      <c r="A99" s="94" t="s">
        <v>4</v>
      </c>
      <c r="B99" s="94" t="s">
        <v>5</v>
      </c>
      <c r="C99" s="95" t="s">
        <v>6</v>
      </c>
      <c r="D99" s="95" t="s">
        <v>7</v>
      </c>
      <c r="E99" s="94" t="s">
        <v>8</v>
      </c>
      <c r="F99" s="96" t="s">
        <v>9</v>
      </c>
      <c r="G99" s="96" t="s">
        <v>10</v>
      </c>
      <c r="H99" s="95" t="s">
        <v>11</v>
      </c>
      <c r="I99" s="97" t="s">
        <v>12</v>
      </c>
      <c r="J99" s="182" t="s">
        <v>13</v>
      </c>
      <c r="K99" s="183"/>
      <c r="L99" s="98" t="s">
        <v>14</v>
      </c>
      <c r="M99" s="99" t="s">
        <v>15</v>
      </c>
      <c r="N99" s="99" t="s">
        <v>17</v>
      </c>
      <c r="O99" s="99" t="s">
        <v>18</v>
      </c>
      <c r="P99" s="99" t="s">
        <v>18</v>
      </c>
      <c r="Q99" s="99" t="s">
        <v>335</v>
      </c>
      <c r="R99" s="99" t="s">
        <v>1950</v>
      </c>
      <c r="S99" s="100" t="s">
        <v>19</v>
      </c>
      <c r="T99" s="100" t="s">
        <v>20</v>
      </c>
      <c r="U99" s="101" t="s">
        <v>21</v>
      </c>
      <c r="V99" s="95" t="s">
        <v>13</v>
      </c>
      <c r="W99" s="100" t="s">
        <v>19</v>
      </c>
      <c r="X99" s="100" t="s">
        <v>20</v>
      </c>
      <c r="Y99" s="100" t="s">
        <v>19</v>
      </c>
      <c r="Z99" s="100" t="s">
        <v>20</v>
      </c>
      <c r="AA99" s="52"/>
      <c r="AB99" s="52"/>
      <c r="AC99" s="102"/>
      <c r="AD99" s="100" t="s">
        <v>22</v>
      </c>
      <c r="AE99" s="100" t="s">
        <v>23</v>
      </c>
      <c r="AF99" s="100" t="s">
        <v>24</v>
      </c>
      <c r="AG99" s="93"/>
      <c r="AH99" s="103" t="s">
        <v>25</v>
      </c>
      <c r="AI99" s="103" t="s">
        <v>26</v>
      </c>
      <c r="AJ99" s="103" t="s">
        <v>27</v>
      </c>
      <c r="AK99" s="93"/>
      <c r="AL99" s="103" t="s">
        <v>25</v>
      </c>
      <c r="AM99" s="103" t="s">
        <v>26</v>
      </c>
      <c r="AN99" s="103" t="s">
        <v>28</v>
      </c>
    </row>
    <row r="100" spans="1:40" s="93" customFormat="1" ht="39.950000000000003" customHeight="1" x14ac:dyDescent="0.25">
      <c r="A100" s="110">
        <v>1</v>
      </c>
      <c r="B100" s="139"/>
      <c r="C100" s="140" t="s">
        <v>581</v>
      </c>
      <c r="D100" s="140" t="s">
        <v>2115</v>
      </c>
      <c r="E100" s="141" t="s">
        <v>2116</v>
      </c>
      <c r="F100" s="142" t="str">
        <f t="shared" ref="F100:F102" si="34">DATEDIF(R100,S100,"y") + DATEDIF(V100,W100,"y") + DATEDIF(X100,Y100,"y") + SUM(AH100) &amp; " años " &amp; DATEDIF(R100,S100,"ym") + DATEDIF(V100,W100,"ym") + DATEDIF(X100,Y100,"ym") + SUM(AI100) - SUM(AM100) &amp; " meses " &amp; DATEDIF(R100,S100,"md") + DATEDIF(V100,W100,"md") + DATEDIF(X100,Y100,"md") - SUM(AN100) &amp; " días"</f>
        <v>23 años 6 meses 0 días</v>
      </c>
      <c r="G100" s="143">
        <v>0.7</v>
      </c>
      <c r="H100" s="110" t="str">
        <f t="shared" ref="H100:H133" si="35">DATEDIF(T100,S100,"y") &amp; " años " &amp; DATEDIF(T100,S100,"ym") &amp; " meses " &amp; DATEDIF(T100,S100,"md") &amp; " días"</f>
        <v>59 años 0 meses 21 días</v>
      </c>
      <c r="I100" s="110" t="str">
        <f t="shared" ref="I100:I133" si="36">DATEDIF(U100,S100,"y") &amp; " años " &amp; DATEDIF(U100,S100,"ym") &amp; " meses " &amp; DATEDIF(U100,S100,"md") &amp; " días"</f>
        <v>4 años 1 meses 5 días</v>
      </c>
      <c r="J100" s="195"/>
      <c r="K100" s="196"/>
      <c r="L100" s="197"/>
      <c r="M100" s="144">
        <f>39234.82+14000</f>
        <v>53234.82</v>
      </c>
      <c r="N100" s="115">
        <f>M100*G100</f>
        <v>37264.373999999996</v>
      </c>
      <c r="O100" s="134"/>
      <c r="P100" s="134" t="s">
        <v>42</v>
      </c>
      <c r="Q100" s="115" t="s">
        <v>336</v>
      </c>
      <c r="R100" s="145">
        <v>36800</v>
      </c>
      <c r="S100" s="146">
        <v>45383</v>
      </c>
      <c r="T100" s="145">
        <v>23812</v>
      </c>
      <c r="U100" s="145">
        <v>43888</v>
      </c>
      <c r="V100" s="116"/>
      <c r="W100" s="116"/>
      <c r="X100" s="116"/>
      <c r="Y100" s="116"/>
      <c r="Z100" s="52"/>
      <c r="AA100" s="52"/>
      <c r="AB100" s="52"/>
      <c r="AC100" s="117"/>
      <c r="AD100" s="118" t="s">
        <v>129</v>
      </c>
      <c r="AE100" s="119" t="s">
        <v>36</v>
      </c>
      <c r="AF100" s="135" t="s">
        <v>37</v>
      </c>
      <c r="AH100" s="118"/>
      <c r="AI100" s="118"/>
      <c r="AJ100" s="118"/>
      <c r="AL100" s="118"/>
      <c r="AM100" s="118"/>
      <c r="AN100" s="118"/>
    </row>
    <row r="101" spans="1:40" s="93" customFormat="1" ht="39.950000000000003" customHeight="1" x14ac:dyDescent="0.25">
      <c r="A101" s="110">
        <v>2</v>
      </c>
      <c r="B101" s="139"/>
      <c r="C101" s="140" t="s">
        <v>581</v>
      </c>
      <c r="D101" s="140" t="s">
        <v>2117</v>
      </c>
      <c r="E101" s="141" t="s">
        <v>2118</v>
      </c>
      <c r="F101" s="142" t="str">
        <f t="shared" si="34"/>
        <v>28 años 8 meses 0 días</v>
      </c>
      <c r="G101" s="143">
        <v>0.82499999999999996</v>
      </c>
      <c r="H101" s="110" t="str">
        <f t="shared" si="35"/>
        <v>47 años 0 meses 6 días</v>
      </c>
      <c r="I101" s="110" t="str">
        <f t="shared" si="36"/>
        <v>5 años 1 meses 5 días</v>
      </c>
      <c r="J101" s="195"/>
      <c r="K101" s="196"/>
      <c r="L101" s="197"/>
      <c r="M101" s="144">
        <v>42907.519999999997</v>
      </c>
      <c r="N101" s="115">
        <f>M101*G101</f>
        <v>35398.703999999998</v>
      </c>
      <c r="O101" s="134"/>
      <c r="P101" s="134" t="s">
        <v>42</v>
      </c>
      <c r="Q101" s="115" t="s">
        <v>336</v>
      </c>
      <c r="R101" s="145">
        <v>34912</v>
      </c>
      <c r="S101" s="146">
        <v>45383</v>
      </c>
      <c r="T101" s="145">
        <v>28210</v>
      </c>
      <c r="U101" s="145">
        <v>43523</v>
      </c>
      <c r="V101" s="116"/>
      <c r="W101" s="116"/>
      <c r="X101" s="116"/>
      <c r="Y101" s="116"/>
      <c r="Z101" s="52"/>
      <c r="AA101" s="52"/>
      <c r="AB101" s="52"/>
      <c r="AC101" s="117"/>
      <c r="AD101" s="118" t="s">
        <v>293</v>
      </c>
      <c r="AE101" s="119" t="s">
        <v>36</v>
      </c>
      <c r="AF101" s="135" t="s">
        <v>37</v>
      </c>
      <c r="AH101" s="118"/>
      <c r="AI101" s="118"/>
      <c r="AJ101" s="118"/>
      <c r="AL101" s="118"/>
      <c r="AM101" s="118"/>
      <c r="AN101" s="118"/>
    </row>
    <row r="102" spans="1:40" s="93" customFormat="1" ht="39.950000000000003" customHeight="1" x14ac:dyDescent="0.25">
      <c r="A102" s="110">
        <v>3</v>
      </c>
      <c r="B102" s="139"/>
      <c r="C102" s="140" t="s">
        <v>581</v>
      </c>
      <c r="D102" s="140" t="s">
        <v>2119</v>
      </c>
      <c r="E102" s="141" t="s">
        <v>2120</v>
      </c>
      <c r="F102" s="142" t="str">
        <f t="shared" si="34"/>
        <v>30 años 11 meses 0 días</v>
      </c>
      <c r="G102" s="143">
        <v>0.88</v>
      </c>
      <c r="H102" s="110" t="str">
        <f t="shared" si="35"/>
        <v>50 años 10 meses 26 días</v>
      </c>
      <c r="I102" s="110" t="str">
        <f t="shared" si="36"/>
        <v>5 años 1 meses 5 días</v>
      </c>
      <c r="J102" s="195"/>
      <c r="K102" s="196"/>
      <c r="L102" s="197"/>
      <c r="M102" s="144">
        <v>42907.51</v>
      </c>
      <c r="N102" s="115">
        <f>M102*G102</f>
        <v>37758.608800000002</v>
      </c>
      <c r="O102" s="134"/>
      <c r="P102" s="134" t="s">
        <v>42</v>
      </c>
      <c r="Q102" s="115" t="s">
        <v>336</v>
      </c>
      <c r="R102" s="145">
        <v>34090</v>
      </c>
      <c r="S102" s="146">
        <v>45383</v>
      </c>
      <c r="T102" s="145">
        <v>26790</v>
      </c>
      <c r="U102" s="145">
        <v>43523</v>
      </c>
      <c r="V102" s="116"/>
      <c r="W102" s="116"/>
      <c r="X102" s="116"/>
      <c r="Y102" s="116"/>
      <c r="Z102" s="52"/>
      <c r="AA102" s="52"/>
      <c r="AB102" s="52"/>
      <c r="AC102" s="117"/>
      <c r="AD102" s="118" t="s">
        <v>293</v>
      </c>
      <c r="AE102" s="119" t="s">
        <v>36</v>
      </c>
      <c r="AF102" s="135" t="s">
        <v>37</v>
      </c>
      <c r="AH102" s="118"/>
      <c r="AI102" s="118"/>
      <c r="AJ102" s="118"/>
      <c r="AL102" s="118"/>
      <c r="AM102" s="118"/>
      <c r="AN102" s="118"/>
    </row>
    <row r="103" spans="1:40" s="93" customFormat="1" ht="39.950000000000003" customHeight="1" x14ac:dyDescent="0.25">
      <c r="A103" s="110">
        <v>4</v>
      </c>
      <c r="B103" s="139"/>
      <c r="C103" s="140" t="s">
        <v>186</v>
      </c>
      <c r="D103" s="140" t="s">
        <v>2121</v>
      </c>
      <c r="E103" s="141" t="s">
        <v>2122</v>
      </c>
      <c r="F103" s="142" t="str">
        <f t="shared" ref="F103:F133" si="37">DATEDIF(R103,S103,"y") + DATEDIF(V103,W103,"y") + DATEDIF(X103,Y103,"y") + SUM(AH103) &amp; " años " &amp; DATEDIF(R103,S103,"ym") + DATEDIF(V103,W103,"ym") + DATEDIF(X103,Y103,"ym") + SUM(AI103) - SUM(AM103) &amp; " meses " &amp; DATEDIF(R103,S103,"md") + DATEDIF(V103,W103,"md") + DATEDIF(X103,Y103,"md") - SUM(AN103) &amp; " días"</f>
        <v>33 años 2 meses 7 días</v>
      </c>
      <c r="G103" s="143">
        <v>0.94</v>
      </c>
      <c r="H103" s="110" t="str">
        <f t="shared" si="35"/>
        <v>52 años 0 meses 0 días</v>
      </c>
      <c r="I103" s="110" t="str">
        <f t="shared" si="36"/>
        <v>5 años 1 meses 5 días</v>
      </c>
      <c r="J103" s="195"/>
      <c r="K103" s="196"/>
      <c r="L103" s="197"/>
      <c r="M103" s="144">
        <v>39234.82</v>
      </c>
      <c r="N103" s="115">
        <f t="shared" ref="N103:N133" si="38">M103*G103</f>
        <v>36880.730799999998</v>
      </c>
      <c r="O103" s="134"/>
      <c r="P103" s="134" t="s">
        <v>42</v>
      </c>
      <c r="Q103" s="115" t="s">
        <v>336</v>
      </c>
      <c r="R103" s="145">
        <v>35551</v>
      </c>
      <c r="S103" s="146">
        <v>45383</v>
      </c>
      <c r="T103" s="145">
        <v>26390</v>
      </c>
      <c r="U103" s="145">
        <v>43523</v>
      </c>
      <c r="V103" s="116">
        <v>32905</v>
      </c>
      <c r="W103" s="116">
        <v>35193</v>
      </c>
      <c r="X103" s="116"/>
      <c r="Y103" s="116"/>
      <c r="Z103" s="52"/>
      <c r="AA103" s="52"/>
      <c r="AB103" s="52"/>
      <c r="AC103" s="117"/>
      <c r="AD103" s="118" t="s">
        <v>293</v>
      </c>
      <c r="AE103" s="119" t="s">
        <v>36</v>
      </c>
      <c r="AF103" s="135" t="s">
        <v>37</v>
      </c>
      <c r="AH103" s="118">
        <v>1</v>
      </c>
      <c r="AI103" s="118"/>
      <c r="AJ103" s="118"/>
      <c r="AL103" s="118"/>
      <c r="AM103" s="118">
        <v>12</v>
      </c>
      <c r="AN103" s="118"/>
    </row>
    <row r="104" spans="1:40" s="93" customFormat="1" ht="39.950000000000003" customHeight="1" x14ac:dyDescent="0.25">
      <c r="A104" s="110">
        <v>5</v>
      </c>
      <c r="B104" s="139"/>
      <c r="C104" s="140" t="s">
        <v>186</v>
      </c>
      <c r="D104" s="140" t="s">
        <v>2123</v>
      </c>
      <c r="E104" s="141" t="s">
        <v>2124</v>
      </c>
      <c r="F104" s="142" t="str">
        <f t="shared" si="37"/>
        <v>30 años 8 meses 9 días</v>
      </c>
      <c r="G104" s="143">
        <v>0.88</v>
      </c>
      <c r="H104" s="110" t="str">
        <f t="shared" si="35"/>
        <v>50 años 4 meses 12 días</v>
      </c>
      <c r="I104" s="110" t="str">
        <f t="shared" si="36"/>
        <v>6 años 1 meses 5 días</v>
      </c>
      <c r="J104" s="195"/>
      <c r="K104" s="196"/>
      <c r="L104" s="197"/>
      <c r="M104" s="144">
        <v>70000</v>
      </c>
      <c r="N104" s="115">
        <f t="shared" si="38"/>
        <v>61600</v>
      </c>
      <c r="O104" s="134"/>
      <c r="P104" s="134" t="s">
        <v>42</v>
      </c>
      <c r="Q104" s="115" t="s">
        <v>336</v>
      </c>
      <c r="R104" s="145">
        <v>36617</v>
      </c>
      <c r="S104" s="146">
        <v>45383</v>
      </c>
      <c r="T104" s="145">
        <v>26988</v>
      </c>
      <c r="U104" s="145">
        <v>43158</v>
      </c>
      <c r="V104" s="116">
        <v>33512</v>
      </c>
      <c r="W104" s="116">
        <v>35956</v>
      </c>
      <c r="X104" s="116"/>
      <c r="Y104" s="116"/>
      <c r="Z104" s="52" t="s">
        <v>1973</v>
      </c>
      <c r="AA104" s="52"/>
      <c r="AB104" s="52"/>
      <c r="AC104" s="117"/>
      <c r="AD104" s="118" t="s">
        <v>129</v>
      </c>
      <c r="AE104" s="119" t="s">
        <v>36</v>
      </c>
      <c r="AF104" s="135" t="s">
        <v>37</v>
      </c>
      <c r="AH104" s="118"/>
      <c r="AI104" s="118"/>
      <c r="AJ104" s="118"/>
      <c r="AL104" s="118"/>
      <c r="AM104" s="118"/>
      <c r="AN104" s="118"/>
    </row>
    <row r="105" spans="1:40" s="93" customFormat="1" ht="39.950000000000003" customHeight="1" x14ac:dyDescent="0.25">
      <c r="A105" s="110">
        <v>6</v>
      </c>
      <c r="B105" s="139"/>
      <c r="C105" s="140" t="s">
        <v>186</v>
      </c>
      <c r="D105" s="140" t="s">
        <v>2125</v>
      </c>
      <c r="E105" s="141" t="s">
        <v>2126</v>
      </c>
      <c r="F105" s="142" t="str">
        <f t="shared" si="37"/>
        <v>34 años 11 meses 0 días</v>
      </c>
      <c r="G105" s="143">
        <v>1</v>
      </c>
      <c r="H105" s="110" t="str">
        <f t="shared" si="35"/>
        <v>52 años 4 meses 20 días</v>
      </c>
      <c r="I105" s="110" t="str">
        <f t="shared" si="36"/>
        <v>5 años 1 meses 5 días</v>
      </c>
      <c r="J105" s="195"/>
      <c r="K105" s="196"/>
      <c r="L105" s="197"/>
      <c r="M105" s="144">
        <v>39234.82</v>
      </c>
      <c r="N105" s="115">
        <f t="shared" si="38"/>
        <v>39234.82</v>
      </c>
      <c r="O105" s="134"/>
      <c r="P105" s="134" t="s">
        <v>42</v>
      </c>
      <c r="Q105" s="115" t="s">
        <v>336</v>
      </c>
      <c r="R105" s="145">
        <v>32629</v>
      </c>
      <c r="S105" s="146">
        <v>45383</v>
      </c>
      <c r="T105" s="145">
        <v>26249</v>
      </c>
      <c r="U105" s="145">
        <v>43523</v>
      </c>
      <c r="V105" s="116"/>
      <c r="W105" s="116"/>
      <c r="X105" s="116"/>
      <c r="Y105" s="116"/>
      <c r="Z105" s="159" t="s">
        <v>2127</v>
      </c>
      <c r="AA105" s="160"/>
      <c r="AB105" s="161"/>
      <c r="AC105" s="117"/>
      <c r="AD105" s="118" t="s">
        <v>268</v>
      </c>
      <c r="AE105" s="119" t="s">
        <v>36</v>
      </c>
      <c r="AF105" s="135" t="s">
        <v>37</v>
      </c>
      <c r="AH105" s="118"/>
      <c r="AI105" s="118"/>
      <c r="AJ105" s="118"/>
      <c r="AL105" s="118"/>
      <c r="AM105" s="118"/>
      <c r="AN105" s="118"/>
    </row>
    <row r="106" spans="1:40" s="93" customFormat="1" ht="39.950000000000003" customHeight="1" x14ac:dyDescent="0.25">
      <c r="A106" s="110">
        <v>7</v>
      </c>
      <c r="B106" s="139"/>
      <c r="C106" s="140" t="s">
        <v>186</v>
      </c>
      <c r="D106" s="140" t="s">
        <v>2128</v>
      </c>
      <c r="E106" s="141" t="s">
        <v>2129</v>
      </c>
      <c r="F106" s="142" t="str">
        <f t="shared" si="37"/>
        <v>27 años 7 meses 0 días</v>
      </c>
      <c r="G106" s="143">
        <v>0.8</v>
      </c>
      <c r="H106" s="110" t="str">
        <f t="shared" si="35"/>
        <v>45 años 5 meses 2 días</v>
      </c>
      <c r="I106" s="110" t="str">
        <f t="shared" si="36"/>
        <v>4 años 1 meses 5 días</v>
      </c>
      <c r="J106" s="195"/>
      <c r="K106" s="196"/>
      <c r="L106" s="197"/>
      <c r="M106" s="144">
        <v>35615.53</v>
      </c>
      <c r="N106" s="115">
        <f t="shared" si="38"/>
        <v>28492.423999999999</v>
      </c>
      <c r="O106" s="134"/>
      <c r="P106" s="134" t="s">
        <v>42</v>
      </c>
      <c r="Q106" s="115" t="s">
        <v>336</v>
      </c>
      <c r="R106" s="145">
        <v>35309</v>
      </c>
      <c r="S106" s="146">
        <v>45383</v>
      </c>
      <c r="T106" s="145">
        <v>28793</v>
      </c>
      <c r="U106" s="145">
        <v>43888</v>
      </c>
      <c r="V106" s="116"/>
      <c r="W106" s="116"/>
      <c r="X106" s="116"/>
      <c r="Y106" s="116"/>
      <c r="Z106" s="52"/>
      <c r="AA106" s="52"/>
      <c r="AB106" s="52"/>
      <c r="AC106" s="117"/>
      <c r="AD106" s="118" t="s">
        <v>293</v>
      </c>
      <c r="AE106" s="119" t="s">
        <v>36</v>
      </c>
      <c r="AF106" s="135" t="s">
        <v>37</v>
      </c>
      <c r="AH106" s="118"/>
      <c r="AI106" s="118"/>
      <c r="AJ106" s="118"/>
      <c r="AL106" s="118"/>
      <c r="AM106" s="118"/>
      <c r="AN106" s="118"/>
    </row>
    <row r="107" spans="1:40" s="93" customFormat="1" ht="39.950000000000003" customHeight="1" x14ac:dyDescent="0.25">
      <c r="A107" s="110">
        <v>8</v>
      </c>
      <c r="B107" s="139"/>
      <c r="C107" s="140" t="s">
        <v>186</v>
      </c>
      <c r="D107" s="140" t="s">
        <v>2130</v>
      </c>
      <c r="E107" s="141" t="s">
        <v>2131</v>
      </c>
      <c r="F107" s="142" t="str">
        <f t="shared" si="37"/>
        <v>31 años 7 meses 0 días</v>
      </c>
      <c r="G107" s="143">
        <v>0.91</v>
      </c>
      <c r="H107" s="110" t="str">
        <f t="shared" si="35"/>
        <v>48 años 3 meses 22 días</v>
      </c>
      <c r="I107" s="110" t="str">
        <f t="shared" si="36"/>
        <v>5 años 1 meses 5 días</v>
      </c>
      <c r="J107" s="195"/>
      <c r="K107" s="196"/>
      <c r="L107" s="197"/>
      <c r="M107" s="144">
        <v>39234.81</v>
      </c>
      <c r="N107" s="115">
        <f t="shared" si="38"/>
        <v>35703.677100000001</v>
      </c>
      <c r="O107" s="134"/>
      <c r="P107" s="134" t="s">
        <v>42</v>
      </c>
      <c r="Q107" s="115" t="s">
        <v>336</v>
      </c>
      <c r="R107" s="145">
        <v>33848</v>
      </c>
      <c r="S107" s="146">
        <v>45383</v>
      </c>
      <c r="T107" s="145">
        <v>27738</v>
      </c>
      <c r="U107" s="145">
        <v>43523</v>
      </c>
      <c r="V107" s="116"/>
      <c r="W107" s="116"/>
      <c r="X107" s="116"/>
      <c r="Y107" s="116"/>
      <c r="Z107" s="52"/>
      <c r="AA107" s="52"/>
      <c r="AB107" s="52"/>
      <c r="AC107" s="117"/>
      <c r="AD107" s="118" t="s">
        <v>268</v>
      </c>
      <c r="AE107" s="119" t="s">
        <v>36</v>
      </c>
      <c r="AF107" s="135" t="s">
        <v>37</v>
      </c>
      <c r="AH107" s="118"/>
      <c r="AI107" s="118"/>
      <c r="AJ107" s="118"/>
      <c r="AL107" s="118"/>
      <c r="AM107" s="118"/>
      <c r="AN107" s="118"/>
    </row>
    <row r="108" spans="1:40" s="93" customFormat="1" ht="39.950000000000003" customHeight="1" x14ac:dyDescent="0.25">
      <c r="A108" s="110">
        <v>9</v>
      </c>
      <c r="B108" s="139"/>
      <c r="C108" s="140" t="s">
        <v>195</v>
      </c>
      <c r="D108" s="140" t="s">
        <v>2132</v>
      </c>
      <c r="E108" s="141" t="s">
        <v>2133</v>
      </c>
      <c r="F108" s="142" t="str">
        <f t="shared" si="37"/>
        <v>31 años 10 meses 28 días</v>
      </c>
      <c r="G108" s="143">
        <v>0.91</v>
      </c>
      <c r="H108" s="110" t="str">
        <f t="shared" si="35"/>
        <v>50 años 4 meses 18 días</v>
      </c>
      <c r="I108" s="110" t="str">
        <f t="shared" si="36"/>
        <v>6 años 1 meses 5 días</v>
      </c>
      <c r="J108" s="195"/>
      <c r="K108" s="196"/>
      <c r="L108" s="197"/>
      <c r="M108" s="144">
        <v>35615.53</v>
      </c>
      <c r="N108" s="115">
        <f t="shared" si="38"/>
        <v>32410.132300000001</v>
      </c>
      <c r="O108" s="134"/>
      <c r="P108" s="134" t="s">
        <v>42</v>
      </c>
      <c r="Q108" s="115" t="s">
        <v>336</v>
      </c>
      <c r="R108" s="145">
        <v>33728</v>
      </c>
      <c r="S108" s="146">
        <v>45383</v>
      </c>
      <c r="T108" s="145">
        <v>26982</v>
      </c>
      <c r="U108" s="145">
        <v>43158</v>
      </c>
      <c r="V108" s="116"/>
      <c r="W108" s="116"/>
      <c r="X108" s="116"/>
      <c r="Y108" s="116"/>
      <c r="Z108" s="52"/>
      <c r="AA108" s="52"/>
      <c r="AB108" s="52"/>
      <c r="AC108" s="117"/>
      <c r="AD108" s="118" t="s">
        <v>293</v>
      </c>
      <c r="AE108" s="119" t="s">
        <v>36</v>
      </c>
      <c r="AF108" s="135" t="s">
        <v>37</v>
      </c>
      <c r="AH108" s="118"/>
      <c r="AI108" s="118"/>
      <c r="AJ108" s="118"/>
      <c r="AL108" s="118"/>
      <c r="AM108" s="118"/>
      <c r="AN108" s="118"/>
    </row>
    <row r="109" spans="1:40" s="93" customFormat="1" ht="39.950000000000003" customHeight="1" x14ac:dyDescent="0.25">
      <c r="A109" s="110">
        <v>10</v>
      </c>
      <c r="B109" s="139"/>
      <c r="C109" s="140" t="s">
        <v>195</v>
      </c>
      <c r="D109" s="140" t="s">
        <v>2134</v>
      </c>
      <c r="E109" s="141" t="s">
        <v>2135</v>
      </c>
      <c r="F109" s="142" t="str">
        <f t="shared" si="37"/>
        <v>28 años 10 meses 0 días</v>
      </c>
      <c r="G109" s="143">
        <v>0.82499999999999996</v>
      </c>
      <c r="H109" s="110" t="str">
        <f t="shared" si="35"/>
        <v>43 años 9 meses 25 días</v>
      </c>
      <c r="I109" s="110" t="str">
        <f t="shared" si="36"/>
        <v>5 años 1 meses 5 días</v>
      </c>
      <c r="J109" s="195"/>
      <c r="K109" s="196"/>
      <c r="L109" s="197"/>
      <c r="M109" s="144">
        <v>35615.53</v>
      </c>
      <c r="N109" s="115">
        <f t="shared" si="38"/>
        <v>29382.812249999999</v>
      </c>
      <c r="O109" s="134"/>
      <c r="P109" s="134" t="s">
        <v>42</v>
      </c>
      <c r="Q109" s="115" t="s">
        <v>336</v>
      </c>
      <c r="R109" s="145">
        <v>34851</v>
      </c>
      <c r="S109" s="146">
        <v>45383</v>
      </c>
      <c r="T109" s="145">
        <v>29379</v>
      </c>
      <c r="U109" s="145">
        <v>43523</v>
      </c>
      <c r="V109" s="116"/>
      <c r="W109" s="116"/>
      <c r="X109" s="116"/>
      <c r="Y109" s="116"/>
      <c r="Z109" s="52"/>
      <c r="AA109" s="52"/>
      <c r="AB109" s="52"/>
      <c r="AC109" s="117"/>
      <c r="AD109" s="118" t="s">
        <v>293</v>
      </c>
      <c r="AE109" s="119" t="s">
        <v>36</v>
      </c>
      <c r="AF109" s="135" t="s">
        <v>37</v>
      </c>
      <c r="AH109" s="118"/>
      <c r="AI109" s="118"/>
      <c r="AJ109" s="118"/>
      <c r="AL109" s="118"/>
      <c r="AM109" s="118"/>
      <c r="AN109" s="118"/>
    </row>
    <row r="110" spans="1:40" s="93" customFormat="1" ht="39.950000000000003" customHeight="1" x14ac:dyDescent="0.25">
      <c r="A110" s="110">
        <v>11</v>
      </c>
      <c r="B110" s="139"/>
      <c r="C110" s="140" t="s">
        <v>195</v>
      </c>
      <c r="D110" s="140" t="s">
        <v>2136</v>
      </c>
      <c r="E110" s="141" t="s">
        <v>2137</v>
      </c>
      <c r="F110" s="142" t="str">
        <f t="shared" si="37"/>
        <v>29 años 1 meses 0 días</v>
      </c>
      <c r="G110" s="143">
        <v>0.82499999999999996</v>
      </c>
      <c r="H110" s="110" t="str">
        <f t="shared" si="35"/>
        <v>50 años 6 meses 7 días</v>
      </c>
      <c r="I110" s="110" t="str">
        <f t="shared" si="36"/>
        <v>1 años 1 meses 5 días</v>
      </c>
      <c r="J110" s="195"/>
      <c r="K110" s="196"/>
      <c r="L110" s="197"/>
      <c r="M110" s="144">
        <v>34575.78</v>
      </c>
      <c r="N110" s="115">
        <f t="shared" si="38"/>
        <v>28525.018499999998</v>
      </c>
      <c r="O110" s="134"/>
      <c r="P110" s="134" t="s">
        <v>42</v>
      </c>
      <c r="Q110" s="115" t="s">
        <v>336</v>
      </c>
      <c r="R110" s="145">
        <v>34759</v>
      </c>
      <c r="S110" s="146">
        <v>45383</v>
      </c>
      <c r="T110" s="145">
        <v>26932</v>
      </c>
      <c r="U110" s="145">
        <v>44984</v>
      </c>
      <c r="V110" s="116"/>
      <c r="W110" s="116"/>
      <c r="X110" s="116"/>
      <c r="Y110" s="116"/>
      <c r="Z110" s="52"/>
      <c r="AA110" s="52"/>
      <c r="AB110" s="52"/>
      <c r="AC110" s="117"/>
      <c r="AD110" s="118" t="s">
        <v>48</v>
      </c>
      <c r="AE110" s="119" t="s">
        <v>36</v>
      </c>
      <c r="AF110" s="135" t="s">
        <v>37</v>
      </c>
      <c r="AH110" s="118"/>
      <c r="AI110" s="118"/>
      <c r="AJ110" s="118"/>
      <c r="AL110" s="118"/>
      <c r="AM110" s="118"/>
      <c r="AN110" s="118"/>
    </row>
    <row r="111" spans="1:40" s="93" customFormat="1" ht="39.950000000000003" customHeight="1" x14ac:dyDescent="0.25">
      <c r="A111" s="110">
        <v>12</v>
      </c>
      <c r="B111" s="139"/>
      <c r="C111" s="140" t="s">
        <v>195</v>
      </c>
      <c r="D111" s="140" t="s">
        <v>2138</v>
      </c>
      <c r="E111" s="141" t="s">
        <v>2139</v>
      </c>
      <c r="F111" s="142" t="str">
        <f t="shared" si="37"/>
        <v>30 años 5 meses 0 días</v>
      </c>
      <c r="G111" s="143">
        <v>0.85</v>
      </c>
      <c r="H111" s="110" t="str">
        <f t="shared" si="35"/>
        <v>54 años 6 meses 4 días</v>
      </c>
      <c r="I111" s="110" t="str">
        <f t="shared" si="36"/>
        <v>6 años 1 meses 5 días</v>
      </c>
      <c r="J111" s="195"/>
      <c r="K111" s="196"/>
      <c r="L111" s="197"/>
      <c r="M111" s="144">
        <v>35615.53</v>
      </c>
      <c r="N111" s="115">
        <f t="shared" si="38"/>
        <v>30273.200499999999</v>
      </c>
      <c r="O111" s="134"/>
      <c r="P111" s="134" t="s">
        <v>42</v>
      </c>
      <c r="Q111" s="115" t="s">
        <v>336</v>
      </c>
      <c r="R111" s="145">
        <v>34274</v>
      </c>
      <c r="S111" s="146">
        <v>45383</v>
      </c>
      <c r="T111" s="145">
        <v>25474</v>
      </c>
      <c r="U111" s="145">
        <v>43158</v>
      </c>
      <c r="V111" s="116"/>
      <c r="W111" s="116"/>
      <c r="X111" s="116"/>
      <c r="Y111" s="116"/>
      <c r="Z111" s="52"/>
      <c r="AA111" s="52"/>
      <c r="AB111" s="52"/>
      <c r="AC111" s="117"/>
      <c r="AD111" s="118" t="s">
        <v>190</v>
      </c>
      <c r="AE111" s="119" t="s">
        <v>36</v>
      </c>
      <c r="AF111" s="135" t="s">
        <v>37</v>
      </c>
      <c r="AH111" s="118"/>
      <c r="AI111" s="118"/>
      <c r="AJ111" s="118"/>
      <c r="AL111" s="118"/>
      <c r="AM111" s="118"/>
      <c r="AN111" s="118"/>
    </row>
    <row r="112" spans="1:40" s="93" customFormat="1" ht="39.950000000000003" customHeight="1" x14ac:dyDescent="0.25">
      <c r="A112" s="110">
        <v>13</v>
      </c>
      <c r="B112" s="139"/>
      <c r="C112" s="140" t="s">
        <v>195</v>
      </c>
      <c r="D112" s="140" t="s">
        <v>2140</v>
      </c>
      <c r="E112" s="141" t="s">
        <v>2141</v>
      </c>
      <c r="F112" s="142" t="str">
        <f t="shared" si="37"/>
        <v>32 años 9 meses 20 días</v>
      </c>
      <c r="G112" s="143">
        <v>0.94</v>
      </c>
      <c r="H112" s="110" t="str">
        <f t="shared" si="35"/>
        <v>60 años 5 meses 8 días</v>
      </c>
      <c r="I112" s="110" t="str">
        <f t="shared" si="36"/>
        <v>5 años 1 meses 5 días</v>
      </c>
      <c r="J112" s="195"/>
      <c r="K112" s="196"/>
      <c r="L112" s="197"/>
      <c r="M112" s="144">
        <f>35615.52</f>
        <v>35615.519999999997</v>
      </c>
      <c r="N112" s="115">
        <f t="shared" si="38"/>
        <v>33478.588799999998</v>
      </c>
      <c r="O112" s="134"/>
      <c r="P112" s="134" t="s">
        <v>42</v>
      </c>
      <c r="Q112" s="115" t="s">
        <v>336</v>
      </c>
      <c r="R112" s="145">
        <v>33401</v>
      </c>
      <c r="S112" s="146">
        <v>45383</v>
      </c>
      <c r="T112" s="145">
        <v>23308</v>
      </c>
      <c r="U112" s="145">
        <v>43523</v>
      </c>
      <c r="V112" s="116"/>
      <c r="W112" s="116"/>
      <c r="X112" s="116"/>
      <c r="Y112" s="116"/>
      <c r="Z112" s="52"/>
      <c r="AA112" s="52"/>
      <c r="AB112" s="52"/>
      <c r="AC112" s="117"/>
      <c r="AD112" s="118" t="s">
        <v>268</v>
      </c>
      <c r="AE112" s="119" t="s">
        <v>36</v>
      </c>
      <c r="AF112" s="135" t="s">
        <v>37</v>
      </c>
      <c r="AH112" s="118"/>
      <c r="AI112" s="118"/>
      <c r="AJ112" s="118"/>
      <c r="AL112" s="118"/>
      <c r="AM112" s="118"/>
      <c r="AN112" s="118"/>
    </row>
    <row r="113" spans="1:40" s="93" customFormat="1" ht="39.950000000000003" customHeight="1" x14ac:dyDescent="0.25">
      <c r="A113" s="110">
        <v>14</v>
      </c>
      <c r="B113" s="139"/>
      <c r="C113" s="140" t="s">
        <v>195</v>
      </c>
      <c r="D113" s="140" t="s">
        <v>2142</v>
      </c>
      <c r="E113" s="141" t="s">
        <v>2143</v>
      </c>
      <c r="F113" s="142" t="str">
        <f t="shared" si="37"/>
        <v>32 años 10 meses 0 días</v>
      </c>
      <c r="G113" s="143">
        <v>0.94</v>
      </c>
      <c r="H113" s="110" t="str">
        <f t="shared" si="35"/>
        <v>51 años 11 meses 10 días</v>
      </c>
      <c r="I113" s="110" t="str">
        <f t="shared" si="36"/>
        <v>5 años 1 meses 5 días</v>
      </c>
      <c r="J113" s="195"/>
      <c r="K113" s="196"/>
      <c r="L113" s="197"/>
      <c r="M113" s="144">
        <f>35615.52</f>
        <v>35615.519999999997</v>
      </c>
      <c r="N113" s="115">
        <f t="shared" si="38"/>
        <v>33478.588799999998</v>
      </c>
      <c r="O113" s="134"/>
      <c r="P113" s="134" t="s">
        <v>42</v>
      </c>
      <c r="Q113" s="115" t="s">
        <v>336</v>
      </c>
      <c r="R113" s="145">
        <v>33390</v>
      </c>
      <c r="S113" s="146">
        <v>45383</v>
      </c>
      <c r="T113" s="145">
        <v>26411</v>
      </c>
      <c r="U113" s="145">
        <v>43523</v>
      </c>
      <c r="V113" s="116"/>
      <c r="W113" s="116"/>
      <c r="X113" s="116"/>
      <c r="Y113" s="116"/>
      <c r="Z113" s="52"/>
      <c r="AA113" s="52"/>
      <c r="AB113" s="52"/>
      <c r="AC113" s="117"/>
      <c r="AD113" s="118" t="s">
        <v>35</v>
      </c>
      <c r="AE113" s="119" t="s">
        <v>36</v>
      </c>
      <c r="AF113" s="135" t="s">
        <v>37</v>
      </c>
      <c r="AH113" s="118"/>
      <c r="AI113" s="118"/>
      <c r="AJ113" s="118"/>
      <c r="AL113" s="118"/>
      <c r="AM113" s="118"/>
      <c r="AN113" s="118"/>
    </row>
    <row r="114" spans="1:40" s="93" customFormat="1" ht="39.950000000000003" customHeight="1" x14ac:dyDescent="0.25">
      <c r="A114" s="110">
        <v>15</v>
      </c>
      <c r="B114" s="139"/>
      <c r="C114" s="140" t="s">
        <v>195</v>
      </c>
      <c r="D114" s="140" t="s">
        <v>2144</v>
      </c>
      <c r="E114" s="141" t="s">
        <v>2145</v>
      </c>
      <c r="F114" s="142" t="str">
        <f t="shared" si="37"/>
        <v>28 años 1 meses 0 días</v>
      </c>
      <c r="G114" s="143">
        <v>0.8</v>
      </c>
      <c r="H114" s="110" t="str">
        <f t="shared" si="35"/>
        <v>51 años 5 meses 13 días</v>
      </c>
      <c r="I114" s="110" t="str">
        <f t="shared" si="36"/>
        <v>5 años 1 meses 5 días</v>
      </c>
      <c r="J114" s="195"/>
      <c r="K114" s="196"/>
      <c r="L114" s="197"/>
      <c r="M114" s="144">
        <v>35615.53</v>
      </c>
      <c r="N114" s="115">
        <f t="shared" si="38"/>
        <v>28492.423999999999</v>
      </c>
      <c r="O114" s="134"/>
      <c r="P114" s="134" t="s">
        <v>42</v>
      </c>
      <c r="Q114" s="115" t="s">
        <v>336</v>
      </c>
      <c r="R114" s="145">
        <v>35827</v>
      </c>
      <c r="S114" s="146">
        <v>45383</v>
      </c>
      <c r="T114" s="145">
        <v>26591</v>
      </c>
      <c r="U114" s="145">
        <v>43523</v>
      </c>
      <c r="V114" s="116">
        <v>34029</v>
      </c>
      <c r="W114" s="116">
        <v>34731</v>
      </c>
      <c r="X114" s="116"/>
      <c r="Y114" s="116"/>
      <c r="Z114" s="52"/>
      <c r="AA114" s="52"/>
      <c r="AB114" s="52"/>
      <c r="AC114" s="117"/>
      <c r="AD114" s="118" t="s">
        <v>268</v>
      </c>
      <c r="AE114" s="119" t="s">
        <v>36</v>
      </c>
      <c r="AF114" s="135" t="s">
        <v>37</v>
      </c>
      <c r="AH114" s="118">
        <v>1</v>
      </c>
      <c r="AI114" s="118"/>
      <c r="AJ114" s="118"/>
      <c r="AL114" s="118"/>
      <c r="AM114" s="118">
        <v>12</v>
      </c>
      <c r="AN114" s="118"/>
    </row>
    <row r="115" spans="1:40" s="93" customFormat="1" ht="39.950000000000003" customHeight="1" x14ac:dyDescent="0.25">
      <c r="A115" s="110">
        <v>16</v>
      </c>
      <c r="B115" s="139"/>
      <c r="C115" s="140" t="s">
        <v>202</v>
      </c>
      <c r="D115" s="140" t="s">
        <v>2146</v>
      </c>
      <c r="E115" s="141" t="s">
        <v>2147</v>
      </c>
      <c r="F115" s="142" t="str">
        <f t="shared" si="37"/>
        <v>22 años 5 meses 0 días</v>
      </c>
      <c r="G115" s="143">
        <v>0.65</v>
      </c>
      <c r="H115" s="110" t="str">
        <f t="shared" si="35"/>
        <v>41 años 4 meses 8 días</v>
      </c>
      <c r="I115" s="110" t="str">
        <f t="shared" si="36"/>
        <v>7 años 1 meses 5 días</v>
      </c>
      <c r="J115" s="195"/>
      <c r="K115" s="196"/>
      <c r="L115" s="197"/>
      <c r="M115" s="144">
        <v>34575.769999999997</v>
      </c>
      <c r="N115" s="115">
        <f t="shared" si="38"/>
        <v>22474.250499999998</v>
      </c>
      <c r="O115" s="134"/>
      <c r="P115" s="134" t="s">
        <v>42</v>
      </c>
      <c r="Q115" s="115" t="s">
        <v>336</v>
      </c>
      <c r="R115" s="145">
        <v>37196</v>
      </c>
      <c r="S115" s="146">
        <v>45383</v>
      </c>
      <c r="T115" s="145">
        <v>30279</v>
      </c>
      <c r="U115" s="145">
        <v>42793</v>
      </c>
      <c r="V115" s="116"/>
      <c r="W115" s="116"/>
      <c r="X115" s="116"/>
      <c r="Y115" s="116"/>
      <c r="Z115" s="52"/>
      <c r="AA115" s="52"/>
      <c r="AB115" s="52"/>
      <c r="AC115" s="117"/>
      <c r="AD115" s="118" t="s">
        <v>268</v>
      </c>
      <c r="AE115" s="119" t="s">
        <v>36</v>
      </c>
      <c r="AF115" s="135" t="s">
        <v>37</v>
      </c>
      <c r="AH115" s="118"/>
      <c r="AI115" s="118"/>
      <c r="AJ115" s="118"/>
      <c r="AL115" s="118"/>
      <c r="AM115" s="118"/>
      <c r="AN115" s="118"/>
    </row>
    <row r="116" spans="1:40" s="93" customFormat="1" ht="39.950000000000003" customHeight="1" x14ac:dyDescent="0.25">
      <c r="A116" s="110">
        <v>17</v>
      </c>
      <c r="B116" s="139"/>
      <c r="C116" s="140" t="s">
        <v>202</v>
      </c>
      <c r="D116" s="140" t="s">
        <v>2148</v>
      </c>
      <c r="E116" s="141" t="s">
        <v>2149</v>
      </c>
      <c r="F116" s="142" t="str">
        <f t="shared" si="37"/>
        <v>22 años 9 meses 0 días</v>
      </c>
      <c r="G116" s="143">
        <v>0.67500000000000004</v>
      </c>
      <c r="H116" s="110" t="str">
        <f t="shared" si="35"/>
        <v>46 años 4 meses 3 días</v>
      </c>
      <c r="I116" s="110" t="str">
        <f t="shared" si="36"/>
        <v>5 años 1 meses 5 días</v>
      </c>
      <c r="J116" s="195"/>
      <c r="K116" s="196"/>
      <c r="L116" s="197"/>
      <c r="M116" s="144">
        <f>34575.78+8000</f>
        <v>42575.78</v>
      </c>
      <c r="N116" s="115">
        <f t="shared" si="38"/>
        <v>28738.6515</v>
      </c>
      <c r="O116" s="134"/>
      <c r="P116" s="134" t="s">
        <v>42</v>
      </c>
      <c r="Q116" s="115" t="s">
        <v>336</v>
      </c>
      <c r="R116" s="145">
        <v>37073</v>
      </c>
      <c r="S116" s="146">
        <v>45383</v>
      </c>
      <c r="T116" s="145">
        <v>28458</v>
      </c>
      <c r="U116" s="145">
        <v>43523</v>
      </c>
      <c r="V116" s="116"/>
      <c r="W116" s="116"/>
      <c r="X116" s="116"/>
      <c r="Y116" s="116"/>
      <c r="Z116" s="52" t="s">
        <v>1973</v>
      </c>
      <c r="AA116" s="52"/>
      <c r="AB116" s="52"/>
      <c r="AC116" s="117"/>
      <c r="AD116" s="118" t="s">
        <v>134</v>
      </c>
      <c r="AE116" s="119" t="s">
        <v>36</v>
      </c>
      <c r="AF116" s="135" t="s">
        <v>37</v>
      </c>
      <c r="AH116" s="118"/>
      <c r="AI116" s="118"/>
      <c r="AJ116" s="118"/>
      <c r="AL116" s="118"/>
      <c r="AM116" s="118"/>
      <c r="AN116" s="118"/>
    </row>
    <row r="117" spans="1:40" s="93" customFormat="1" ht="39.950000000000003" customHeight="1" x14ac:dyDescent="0.25">
      <c r="A117" s="110">
        <v>18</v>
      </c>
      <c r="B117" s="139"/>
      <c r="C117" s="140" t="s">
        <v>202</v>
      </c>
      <c r="D117" s="140" t="s">
        <v>2150</v>
      </c>
      <c r="E117" s="141" t="s">
        <v>2151</v>
      </c>
      <c r="F117" s="142" t="str">
        <f t="shared" si="37"/>
        <v>26 años 2 meses 0 días</v>
      </c>
      <c r="G117" s="143">
        <v>0.75</v>
      </c>
      <c r="H117" s="110" t="str">
        <f t="shared" si="35"/>
        <v>42 años 5 meses 9 días</v>
      </c>
      <c r="I117" s="110" t="str">
        <f t="shared" si="36"/>
        <v>3 años 1 meses 5 días</v>
      </c>
      <c r="J117" s="195"/>
      <c r="K117" s="196"/>
      <c r="L117" s="197"/>
      <c r="M117" s="144">
        <v>32541.78</v>
      </c>
      <c r="N117" s="115">
        <f t="shared" si="38"/>
        <v>24406.334999999999</v>
      </c>
      <c r="O117" s="134"/>
      <c r="P117" s="134" t="s">
        <v>42</v>
      </c>
      <c r="Q117" s="115" t="s">
        <v>336</v>
      </c>
      <c r="R117" s="145">
        <v>35827</v>
      </c>
      <c r="S117" s="146">
        <v>45383</v>
      </c>
      <c r="T117" s="145">
        <v>29882</v>
      </c>
      <c r="U117" s="145">
        <v>44254</v>
      </c>
      <c r="V117" s="116"/>
      <c r="W117" s="116"/>
      <c r="X117" s="116"/>
      <c r="Y117" s="116"/>
      <c r="Z117" s="52"/>
      <c r="AA117" s="52"/>
      <c r="AB117" s="52"/>
      <c r="AC117" s="117"/>
      <c r="AD117" s="118" t="s">
        <v>48</v>
      </c>
      <c r="AE117" s="119" t="s">
        <v>36</v>
      </c>
      <c r="AF117" s="135" t="s">
        <v>37</v>
      </c>
      <c r="AH117" s="118"/>
      <c r="AI117" s="118"/>
      <c r="AJ117" s="118"/>
      <c r="AL117" s="118"/>
      <c r="AM117" s="118"/>
      <c r="AN117" s="118"/>
    </row>
    <row r="118" spans="1:40" s="93" customFormat="1" ht="39.950000000000003" customHeight="1" x14ac:dyDescent="0.25">
      <c r="A118" s="110">
        <v>19</v>
      </c>
      <c r="B118" s="110"/>
      <c r="C118" s="148" t="s">
        <v>202</v>
      </c>
      <c r="D118" s="152" t="s">
        <v>2152</v>
      </c>
      <c r="E118" s="153" t="s">
        <v>2153</v>
      </c>
      <c r="F118" s="110" t="str">
        <f t="shared" si="37"/>
        <v>31 años 2 meses 0 días</v>
      </c>
      <c r="G118" s="149">
        <v>1</v>
      </c>
      <c r="H118" s="110" t="str">
        <f t="shared" si="35"/>
        <v>52 años 5 meses 4 días</v>
      </c>
      <c r="I118" s="110" t="str">
        <f t="shared" si="36"/>
        <v>12 años 1 meses 5 días</v>
      </c>
      <c r="J118" s="195" t="s">
        <v>13</v>
      </c>
      <c r="K118" s="196"/>
      <c r="L118" s="197"/>
      <c r="M118" s="115">
        <v>34575.78</v>
      </c>
      <c r="N118" s="115">
        <f t="shared" si="38"/>
        <v>34575.78</v>
      </c>
      <c r="O118" s="134" t="s">
        <v>2064</v>
      </c>
      <c r="P118" s="134" t="s">
        <v>33</v>
      </c>
      <c r="Q118" s="115" t="s">
        <v>337</v>
      </c>
      <c r="R118" s="154">
        <v>34001</v>
      </c>
      <c r="S118" s="154">
        <v>45383</v>
      </c>
      <c r="T118" s="155">
        <v>26234</v>
      </c>
      <c r="U118" s="155">
        <v>40966</v>
      </c>
      <c r="V118" s="116"/>
      <c r="W118" s="116"/>
      <c r="X118" s="116"/>
      <c r="Y118" s="116"/>
      <c r="Z118"/>
      <c r="AA118"/>
      <c r="AB118"/>
      <c r="AC118" s="117"/>
      <c r="AD118" s="118" t="s">
        <v>190</v>
      </c>
      <c r="AE118" s="119" t="s">
        <v>36</v>
      </c>
      <c r="AF118" s="135" t="s">
        <v>37</v>
      </c>
      <c r="AH118" s="118"/>
      <c r="AI118" s="118"/>
      <c r="AJ118" s="118"/>
      <c r="AL118" s="118"/>
      <c r="AM118" s="118"/>
      <c r="AN118" s="118"/>
    </row>
    <row r="119" spans="1:40" s="93" customFormat="1" ht="39.950000000000003" customHeight="1" x14ac:dyDescent="0.25">
      <c r="A119" s="110">
        <v>20</v>
      </c>
      <c r="B119" s="110"/>
      <c r="C119" s="148" t="s">
        <v>202</v>
      </c>
      <c r="D119" s="152" t="s">
        <v>2154</v>
      </c>
      <c r="E119" s="153" t="s">
        <v>2155</v>
      </c>
      <c r="F119" s="110" t="str">
        <f t="shared" si="37"/>
        <v>30 años 1 meses 6 días</v>
      </c>
      <c r="G119" s="149">
        <v>1</v>
      </c>
      <c r="H119" s="110" t="str">
        <f t="shared" si="35"/>
        <v>49 años 7 meses 30 días</v>
      </c>
      <c r="I119" s="110" t="str">
        <f t="shared" si="36"/>
        <v>12 años 1 meses 5 días</v>
      </c>
      <c r="J119" s="195" t="s">
        <v>13</v>
      </c>
      <c r="K119" s="196"/>
      <c r="L119" s="197"/>
      <c r="M119" s="115">
        <v>34575.78</v>
      </c>
      <c r="N119" s="115">
        <f t="shared" si="38"/>
        <v>34575.78</v>
      </c>
      <c r="O119" s="134" t="s">
        <v>2064</v>
      </c>
      <c r="P119" s="134" t="s">
        <v>33</v>
      </c>
      <c r="Q119" s="115" t="s">
        <v>337</v>
      </c>
      <c r="R119" s="154">
        <v>34391</v>
      </c>
      <c r="S119" s="154">
        <v>45383</v>
      </c>
      <c r="T119" s="155">
        <v>27243</v>
      </c>
      <c r="U119" s="155">
        <v>40966</v>
      </c>
      <c r="V119" s="116"/>
      <c r="W119" s="116"/>
      <c r="X119" s="116"/>
      <c r="Y119" s="116"/>
      <c r="Z119"/>
      <c r="AA119"/>
      <c r="AB119"/>
      <c r="AC119" s="117"/>
      <c r="AD119" s="118" t="s">
        <v>134</v>
      </c>
      <c r="AE119" s="119" t="s">
        <v>36</v>
      </c>
      <c r="AF119" s="135" t="s">
        <v>37</v>
      </c>
      <c r="AH119" s="118"/>
      <c r="AI119" s="118"/>
      <c r="AJ119" s="118"/>
      <c r="AL119" s="118"/>
      <c r="AM119" s="118"/>
      <c r="AN119" s="118"/>
    </row>
    <row r="120" spans="1:40" s="93" customFormat="1" ht="39.950000000000003" customHeight="1" x14ac:dyDescent="0.25">
      <c r="A120" s="110">
        <v>21</v>
      </c>
      <c r="B120" s="110"/>
      <c r="C120" s="148" t="s">
        <v>202</v>
      </c>
      <c r="D120" s="152" t="s">
        <v>2156</v>
      </c>
      <c r="E120" s="153" t="s">
        <v>2157</v>
      </c>
      <c r="F120" s="110" t="str">
        <f t="shared" si="37"/>
        <v>31 años 2 meses 0 días</v>
      </c>
      <c r="G120" s="149">
        <v>1</v>
      </c>
      <c r="H120" s="110" t="str">
        <f t="shared" si="35"/>
        <v>50 años 4 meses 18 días</v>
      </c>
      <c r="I120" s="110" t="str">
        <f t="shared" si="36"/>
        <v>8 años 1 meses 5 días</v>
      </c>
      <c r="J120" s="195"/>
      <c r="K120" s="196"/>
      <c r="L120" s="197"/>
      <c r="M120" s="115">
        <v>34575.78</v>
      </c>
      <c r="N120" s="115">
        <f t="shared" si="38"/>
        <v>34575.78</v>
      </c>
      <c r="O120" s="134" t="s">
        <v>2064</v>
      </c>
      <c r="P120" s="134" t="s">
        <v>33</v>
      </c>
      <c r="Q120" s="115" t="s">
        <v>337</v>
      </c>
      <c r="R120" s="154">
        <v>34001</v>
      </c>
      <c r="S120" s="154">
        <v>45383</v>
      </c>
      <c r="T120" s="155">
        <v>26982</v>
      </c>
      <c r="U120" s="155">
        <v>42427</v>
      </c>
      <c r="V120" s="116"/>
      <c r="W120" s="116"/>
      <c r="X120" s="116"/>
      <c r="Y120" s="116"/>
      <c r="Z120"/>
      <c r="AA120"/>
      <c r="AB120"/>
      <c r="AC120" s="117"/>
      <c r="AD120" s="118" t="s">
        <v>134</v>
      </c>
      <c r="AE120" s="119" t="s">
        <v>36</v>
      </c>
      <c r="AF120" s="135" t="s">
        <v>37</v>
      </c>
      <c r="AH120" s="118"/>
      <c r="AI120" s="118"/>
      <c r="AJ120" s="118"/>
      <c r="AL120" s="118"/>
      <c r="AM120" s="118"/>
      <c r="AN120" s="118"/>
    </row>
    <row r="121" spans="1:40" s="93" customFormat="1" ht="39.950000000000003" customHeight="1" x14ac:dyDescent="0.25">
      <c r="A121" s="110">
        <v>22</v>
      </c>
      <c r="B121" s="139"/>
      <c r="C121" s="140" t="s">
        <v>211</v>
      </c>
      <c r="D121" s="140" t="s">
        <v>2158</v>
      </c>
      <c r="E121" s="141" t="s">
        <v>2159</v>
      </c>
      <c r="F121" s="142" t="str">
        <f t="shared" si="37"/>
        <v>22 años 9 meses 0 días</v>
      </c>
      <c r="G121" s="143">
        <v>0.67500000000000004</v>
      </c>
      <c r="H121" s="110" t="str">
        <f t="shared" si="35"/>
        <v>43 años 5 meses 26 días</v>
      </c>
      <c r="I121" s="110" t="str">
        <f t="shared" si="36"/>
        <v>5 años 1 meses 5 días</v>
      </c>
      <c r="J121" s="195"/>
      <c r="K121" s="196"/>
      <c r="L121" s="197"/>
      <c r="M121" s="144">
        <v>32541.78</v>
      </c>
      <c r="N121" s="115">
        <f t="shared" si="38"/>
        <v>21965.701499999999</v>
      </c>
      <c r="O121" s="134"/>
      <c r="P121" s="134" t="s">
        <v>42</v>
      </c>
      <c r="Q121" s="115" t="s">
        <v>336</v>
      </c>
      <c r="R121" s="145">
        <v>37073</v>
      </c>
      <c r="S121" s="146">
        <v>45383</v>
      </c>
      <c r="T121" s="145">
        <v>29500</v>
      </c>
      <c r="U121" s="145">
        <v>43523</v>
      </c>
      <c r="V121" s="116"/>
      <c r="W121" s="116"/>
      <c r="X121" s="116"/>
      <c r="Y121" s="116"/>
      <c r="Z121" s="52"/>
      <c r="AA121" s="52"/>
      <c r="AB121" s="52"/>
      <c r="AC121" s="117"/>
      <c r="AD121" s="118" t="s">
        <v>268</v>
      </c>
      <c r="AE121" s="119" t="s">
        <v>36</v>
      </c>
      <c r="AF121" s="135" t="s">
        <v>37</v>
      </c>
      <c r="AH121" s="118"/>
      <c r="AI121" s="118"/>
      <c r="AJ121" s="118"/>
      <c r="AL121" s="118"/>
      <c r="AM121" s="118"/>
      <c r="AN121" s="118"/>
    </row>
    <row r="122" spans="1:40" s="93" customFormat="1" ht="39.950000000000003" customHeight="1" x14ac:dyDescent="0.25">
      <c r="A122" s="110">
        <v>23</v>
      </c>
      <c r="B122" s="139"/>
      <c r="C122" s="140" t="s">
        <v>211</v>
      </c>
      <c r="D122" s="140" t="s">
        <v>2160</v>
      </c>
      <c r="E122" s="141" t="s">
        <v>2161</v>
      </c>
      <c r="F122" s="142" t="str">
        <f t="shared" si="37"/>
        <v>22 años 5 meses 0 días</v>
      </c>
      <c r="G122" s="143">
        <v>0.65</v>
      </c>
      <c r="H122" s="110" t="str">
        <f t="shared" si="35"/>
        <v>49 años 6 meses 21 días</v>
      </c>
      <c r="I122" s="110" t="str">
        <f t="shared" si="36"/>
        <v>5 años 1 meses 5 días</v>
      </c>
      <c r="J122" s="195"/>
      <c r="K122" s="196"/>
      <c r="L122" s="197"/>
      <c r="M122" s="144">
        <v>32541.78</v>
      </c>
      <c r="N122" s="115">
        <f t="shared" si="38"/>
        <v>21152.156999999999</v>
      </c>
      <c r="O122" s="134"/>
      <c r="P122" s="134" t="s">
        <v>42</v>
      </c>
      <c r="Q122" s="115" t="s">
        <v>336</v>
      </c>
      <c r="R122" s="145">
        <v>37196</v>
      </c>
      <c r="S122" s="146">
        <v>45383</v>
      </c>
      <c r="T122" s="145">
        <v>27283</v>
      </c>
      <c r="U122" s="145">
        <v>43523</v>
      </c>
      <c r="V122" s="116"/>
      <c r="W122" s="116"/>
      <c r="X122" s="116"/>
      <c r="Y122" s="116"/>
      <c r="Z122" s="52"/>
      <c r="AA122" s="52"/>
      <c r="AB122" s="52"/>
      <c r="AC122" s="117"/>
      <c r="AD122" s="118" t="s">
        <v>48</v>
      </c>
      <c r="AE122" s="119" t="s">
        <v>36</v>
      </c>
      <c r="AF122" s="135" t="s">
        <v>37</v>
      </c>
      <c r="AH122" s="118"/>
      <c r="AI122" s="118"/>
      <c r="AJ122" s="118"/>
      <c r="AL122" s="118"/>
      <c r="AM122" s="118"/>
      <c r="AN122" s="118"/>
    </row>
    <row r="123" spans="1:40" s="93" customFormat="1" ht="39.950000000000003" customHeight="1" x14ac:dyDescent="0.25">
      <c r="A123" s="110">
        <v>24</v>
      </c>
      <c r="B123" s="139"/>
      <c r="C123" s="140" t="s">
        <v>211</v>
      </c>
      <c r="D123" s="140" t="s">
        <v>2162</v>
      </c>
      <c r="E123" s="141" t="s">
        <v>2163</v>
      </c>
      <c r="F123" s="142" t="str">
        <f t="shared" si="37"/>
        <v>22 años 4 meses 0 días</v>
      </c>
      <c r="G123" s="143">
        <v>0.65</v>
      </c>
      <c r="H123" s="110" t="str">
        <f t="shared" si="35"/>
        <v>55 años 2 meses 2 días</v>
      </c>
      <c r="I123" s="110" t="str">
        <f t="shared" si="36"/>
        <v>5 años 1 meses 5 días</v>
      </c>
      <c r="J123" s="195"/>
      <c r="K123" s="196"/>
      <c r="L123" s="197"/>
      <c r="M123" s="144">
        <v>32541.77</v>
      </c>
      <c r="N123" s="115">
        <f t="shared" si="38"/>
        <v>21152.1505</v>
      </c>
      <c r="O123" s="134"/>
      <c r="P123" s="134" t="s">
        <v>42</v>
      </c>
      <c r="Q123" s="115" t="s">
        <v>336</v>
      </c>
      <c r="R123" s="145">
        <v>37226</v>
      </c>
      <c r="S123" s="146">
        <v>45383</v>
      </c>
      <c r="T123" s="145">
        <v>25233</v>
      </c>
      <c r="U123" s="145">
        <v>43523</v>
      </c>
      <c r="V123" s="116"/>
      <c r="W123" s="116"/>
      <c r="X123" s="116"/>
      <c r="Y123" s="116"/>
      <c r="Z123" s="52"/>
      <c r="AA123" s="52"/>
      <c r="AB123" s="52"/>
      <c r="AC123" s="117"/>
      <c r="AD123" s="118" t="s">
        <v>268</v>
      </c>
      <c r="AE123" s="119" t="s">
        <v>36</v>
      </c>
      <c r="AF123" s="135" t="s">
        <v>37</v>
      </c>
      <c r="AH123" s="118"/>
      <c r="AI123" s="118"/>
      <c r="AJ123" s="118"/>
      <c r="AL123" s="118"/>
      <c r="AM123" s="118"/>
      <c r="AN123" s="118"/>
    </row>
    <row r="124" spans="1:40" s="93" customFormat="1" ht="39.950000000000003" customHeight="1" x14ac:dyDescent="0.25">
      <c r="A124" s="110">
        <v>25</v>
      </c>
      <c r="B124" s="139"/>
      <c r="C124" s="140" t="s">
        <v>211</v>
      </c>
      <c r="D124" s="140" t="s">
        <v>2164</v>
      </c>
      <c r="E124" s="141" t="s">
        <v>2165</v>
      </c>
      <c r="F124" s="142" t="str">
        <f t="shared" si="37"/>
        <v>28 años 10 meses 0 días</v>
      </c>
      <c r="G124" s="143">
        <v>0.82499999999999996</v>
      </c>
      <c r="H124" s="110" t="str">
        <f t="shared" si="35"/>
        <v>55 años 3 meses 0 días</v>
      </c>
      <c r="I124" s="110" t="str">
        <f t="shared" si="36"/>
        <v>6 años 1 meses 5 días</v>
      </c>
      <c r="J124" s="195"/>
      <c r="K124" s="196"/>
      <c r="L124" s="197"/>
      <c r="M124" s="144">
        <v>32541.77</v>
      </c>
      <c r="N124" s="115">
        <f t="shared" si="38"/>
        <v>26846.96025</v>
      </c>
      <c r="O124" s="134"/>
      <c r="P124" s="134" t="s">
        <v>42</v>
      </c>
      <c r="Q124" s="115" t="s">
        <v>336</v>
      </c>
      <c r="R124" s="145">
        <v>34851</v>
      </c>
      <c r="S124" s="146">
        <v>45383</v>
      </c>
      <c r="T124" s="145">
        <v>25204</v>
      </c>
      <c r="U124" s="145">
        <v>43158</v>
      </c>
      <c r="V124" s="116"/>
      <c r="W124" s="116"/>
      <c r="X124" s="116"/>
      <c r="Y124" s="116"/>
      <c r="Z124" s="52"/>
      <c r="AA124" s="52"/>
      <c r="AB124" s="52"/>
      <c r="AC124" s="117"/>
      <c r="AD124" s="118" t="s">
        <v>129</v>
      </c>
      <c r="AE124" s="119" t="s">
        <v>36</v>
      </c>
      <c r="AF124" s="135" t="s">
        <v>37</v>
      </c>
      <c r="AH124" s="118"/>
      <c r="AI124" s="118"/>
      <c r="AJ124" s="118"/>
      <c r="AL124" s="118"/>
      <c r="AM124" s="118"/>
      <c r="AN124" s="118"/>
    </row>
    <row r="125" spans="1:40" s="93" customFormat="1" ht="39.950000000000003" customHeight="1" x14ac:dyDescent="0.25">
      <c r="A125" s="110">
        <v>26</v>
      </c>
      <c r="B125" s="139"/>
      <c r="C125" s="140" t="s">
        <v>211</v>
      </c>
      <c r="D125" s="140" t="s">
        <v>2166</v>
      </c>
      <c r="E125" s="141" t="s">
        <v>2167</v>
      </c>
      <c r="F125" s="142" t="str">
        <f t="shared" si="37"/>
        <v>25 años 11 meses 0 días</v>
      </c>
      <c r="G125" s="143">
        <v>0.75</v>
      </c>
      <c r="H125" s="110" t="str">
        <f t="shared" si="35"/>
        <v>44 años 5 meses 22 días</v>
      </c>
      <c r="I125" s="110" t="str">
        <f t="shared" si="36"/>
        <v>7 años 1 meses 5 días</v>
      </c>
      <c r="J125" s="195"/>
      <c r="K125" s="196"/>
      <c r="L125" s="197"/>
      <c r="M125" s="144">
        <v>32541.78</v>
      </c>
      <c r="N125" s="115">
        <f t="shared" si="38"/>
        <v>24406.334999999999</v>
      </c>
      <c r="O125" s="134"/>
      <c r="P125" s="134" t="s">
        <v>42</v>
      </c>
      <c r="Q125" s="115" t="s">
        <v>336</v>
      </c>
      <c r="R125" s="145">
        <v>35916</v>
      </c>
      <c r="S125" s="146">
        <v>45383</v>
      </c>
      <c r="T125" s="145">
        <v>29138</v>
      </c>
      <c r="U125" s="145">
        <v>42793</v>
      </c>
      <c r="V125" s="116"/>
      <c r="W125" s="116"/>
      <c r="X125" s="116"/>
      <c r="Y125" s="116"/>
      <c r="Z125" s="52"/>
      <c r="AA125" s="52"/>
      <c r="AB125" s="52"/>
      <c r="AC125" s="117"/>
      <c r="AD125" s="118" t="s">
        <v>129</v>
      </c>
      <c r="AE125" s="119" t="s">
        <v>36</v>
      </c>
      <c r="AF125" s="135" t="s">
        <v>37</v>
      </c>
      <c r="AH125" s="118"/>
      <c r="AI125" s="118"/>
      <c r="AJ125" s="118"/>
      <c r="AL125" s="118"/>
      <c r="AM125" s="118"/>
      <c r="AN125" s="118"/>
    </row>
    <row r="126" spans="1:40" s="93" customFormat="1" ht="39.950000000000003" customHeight="1" x14ac:dyDescent="0.25">
      <c r="A126" s="110">
        <v>27</v>
      </c>
      <c r="B126" s="139"/>
      <c r="C126" s="140" t="s">
        <v>211</v>
      </c>
      <c r="D126" s="140" t="s">
        <v>2168</v>
      </c>
      <c r="E126" s="141" t="s">
        <v>2169</v>
      </c>
      <c r="F126" s="142" t="str">
        <f t="shared" si="37"/>
        <v>25 años 11 meses 0 días</v>
      </c>
      <c r="G126" s="143">
        <v>0.75</v>
      </c>
      <c r="H126" s="110" t="str">
        <f t="shared" si="35"/>
        <v>46 años 5 meses 18 días</v>
      </c>
      <c r="I126" s="110" t="str">
        <f t="shared" si="36"/>
        <v>7 años 1 meses 5 días</v>
      </c>
      <c r="J126" s="195"/>
      <c r="K126" s="196"/>
      <c r="L126" s="197"/>
      <c r="M126" s="144">
        <v>70000</v>
      </c>
      <c r="N126" s="115">
        <f t="shared" si="38"/>
        <v>52500</v>
      </c>
      <c r="O126" s="134"/>
      <c r="P126" s="134" t="s">
        <v>42</v>
      </c>
      <c r="Q126" s="115" t="s">
        <v>336</v>
      </c>
      <c r="R126" s="145">
        <v>35916</v>
      </c>
      <c r="S126" s="146">
        <v>45383</v>
      </c>
      <c r="T126" s="145">
        <v>28412</v>
      </c>
      <c r="U126" s="145">
        <v>42793</v>
      </c>
      <c r="V126" s="116"/>
      <c r="W126" s="116"/>
      <c r="X126" s="116"/>
      <c r="Y126" s="116"/>
      <c r="Z126" s="52"/>
      <c r="AA126" s="52"/>
      <c r="AB126" s="52"/>
      <c r="AC126" s="117"/>
      <c r="AD126" s="118" t="s">
        <v>129</v>
      </c>
      <c r="AE126" s="119" t="s">
        <v>36</v>
      </c>
      <c r="AF126" s="135" t="s">
        <v>37</v>
      </c>
      <c r="AH126" s="118"/>
      <c r="AI126" s="118"/>
      <c r="AJ126" s="118"/>
      <c r="AL126" s="118"/>
      <c r="AM126" s="118"/>
      <c r="AN126" s="118"/>
    </row>
    <row r="127" spans="1:40" s="93" customFormat="1" ht="39.950000000000003" customHeight="1" x14ac:dyDescent="0.25">
      <c r="A127" s="110">
        <v>28</v>
      </c>
      <c r="B127" s="139"/>
      <c r="C127" s="140" t="s">
        <v>211</v>
      </c>
      <c r="D127" s="140" t="s">
        <v>2170</v>
      </c>
      <c r="E127" s="141" t="s">
        <v>2171</v>
      </c>
      <c r="F127" s="142" t="str">
        <f t="shared" si="37"/>
        <v>25 años 8 meses 0 días</v>
      </c>
      <c r="G127" s="143">
        <v>0.75</v>
      </c>
      <c r="H127" s="110" t="str">
        <f t="shared" si="35"/>
        <v>46 años 4 meses 11 días</v>
      </c>
      <c r="I127" s="110" t="str">
        <f t="shared" si="36"/>
        <v>8 años 1 meses 5 días</v>
      </c>
      <c r="J127" s="195"/>
      <c r="K127" s="196"/>
      <c r="L127" s="197"/>
      <c r="M127" s="144">
        <v>32541.77</v>
      </c>
      <c r="N127" s="115">
        <f t="shared" si="38"/>
        <v>24406.327499999999</v>
      </c>
      <c r="O127" s="134"/>
      <c r="P127" s="134" t="s">
        <v>42</v>
      </c>
      <c r="Q127" s="115" t="s">
        <v>336</v>
      </c>
      <c r="R127" s="145">
        <v>36008</v>
      </c>
      <c r="S127" s="146">
        <v>45383</v>
      </c>
      <c r="T127" s="145">
        <v>28450</v>
      </c>
      <c r="U127" s="145">
        <v>42427</v>
      </c>
      <c r="V127" s="116"/>
      <c r="W127" s="116"/>
      <c r="X127" s="116"/>
      <c r="Y127" s="116"/>
      <c r="Z127" s="52"/>
      <c r="AA127" s="52"/>
      <c r="AB127" s="52"/>
      <c r="AC127" s="117"/>
      <c r="AD127" s="118" t="s">
        <v>129</v>
      </c>
      <c r="AE127" s="119" t="s">
        <v>36</v>
      </c>
      <c r="AF127" s="135" t="s">
        <v>37</v>
      </c>
      <c r="AH127" s="118"/>
      <c r="AI127" s="118"/>
      <c r="AJ127" s="118"/>
      <c r="AL127" s="118"/>
      <c r="AM127" s="118"/>
      <c r="AN127" s="118"/>
    </row>
    <row r="128" spans="1:40" s="93" customFormat="1" ht="39.950000000000003" customHeight="1" x14ac:dyDescent="0.25">
      <c r="A128" s="110">
        <v>29</v>
      </c>
      <c r="B128" s="139"/>
      <c r="C128" s="140" t="s">
        <v>211</v>
      </c>
      <c r="D128" s="140" t="s">
        <v>2172</v>
      </c>
      <c r="E128" s="141" t="s">
        <v>2173</v>
      </c>
      <c r="F128" s="142" t="str">
        <f t="shared" si="37"/>
        <v>22 años 3 meses 0 días</v>
      </c>
      <c r="G128" s="143">
        <v>0.65</v>
      </c>
      <c r="H128" s="110" t="str">
        <f t="shared" si="35"/>
        <v>53 años 0 meses 0 días</v>
      </c>
      <c r="I128" s="110" t="str">
        <f t="shared" si="36"/>
        <v>4 años 1 meses 5 días</v>
      </c>
      <c r="J128" s="195"/>
      <c r="K128" s="196"/>
      <c r="L128" s="197"/>
      <c r="M128" s="144">
        <v>31510.28</v>
      </c>
      <c r="N128" s="115">
        <f t="shared" si="38"/>
        <v>20481.682000000001</v>
      </c>
      <c r="O128" s="134"/>
      <c r="P128" s="134" t="s">
        <v>42</v>
      </c>
      <c r="Q128" s="115" t="s">
        <v>336</v>
      </c>
      <c r="R128" s="145">
        <v>37257</v>
      </c>
      <c r="S128" s="146">
        <v>45383</v>
      </c>
      <c r="T128" s="145">
        <v>26024</v>
      </c>
      <c r="U128" s="145">
        <v>43888</v>
      </c>
      <c r="V128" s="116"/>
      <c r="W128" s="116"/>
      <c r="X128" s="116"/>
      <c r="Y128" s="116"/>
      <c r="Z128" s="52"/>
      <c r="AA128" s="52"/>
      <c r="AB128" s="52"/>
      <c r="AC128" s="117"/>
      <c r="AD128" s="118" t="s">
        <v>48</v>
      </c>
      <c r="AE128" s="119" t="s">
        <v>36</v>
      </c>
      <c r="AF128" s="135" t="s">
        <v>37</v>
      </c>
      <c r="AH128" s="118"/>
      <c r="AI128" s="118"/>
      <c r="AJ128" s="118"/>
      <c r="AL128" s="118"/>
      <c r="AM128" s="118"/>
      <c r="AN128" s="118"/>
    </row>
    <row r="129" spans="1:40" s="93" customFormat="1" ht="39.950000000000003" customHeight="1" x14ac:dyDescent="0.25">
      <c r="A129" s="110">
        <v>30</v>
      </c>
      <c r="B129" s="139"/>
      <c r="C129" s="140" t="s">
        <v>145</v>
      </c>
      <c r="D129" s="140" t="s">
        <v>2174</v>
      </c>
      <c r="E129" s="141" t="s">
        <v>2175</v>
      </c>
      <c r="F129" s="142" t="str">
        <f t="shared" si="37"/>
        <v>22 años 9 meses 0 días</v>
      </c>
      <c r="G129" s="143">
        <v>0.67500000000000004</v>
      </c>
      <c r="H129" s="110" t="str">
        <f t="shared" si="35"/>
        <v>39 años 4 meses 9 días</v>
      </c>
      <c r="I129" s="110" t="str">
        <f t="shared" si="36"/>
        <v>7 años 1 meses 5 días</v>
      </c>
      <c r="J129" s="195"/>
      <c r="K129" s="196"/>
      <c r="L129" s="197"/>
      <c r="M129" s="144">
        <v>31510.27</v>
      </c>
      <c r="N129" s="115">
        <f t="shared" si="38"/>
        <v>21269.432250000002</v>
      </c>
      <c r="O129" s="134"/>
      <c r="P129" s="134" t="s">
        <v>42</v>
      </c>
      <c r="Q129" s="115" t="s">
        <v>336</v>
      </c>
      <c r="R129" s="145">
        <v>37073</v>
      </c>
      <c r="S129" s="146">
        <v>45383</v>
      </c>
      <c r="T129" s="145">
        <v>31009</v>
      </c>
      <c r="U129" s="145">
        <v>42793</v>
      </c>
      <c r="V129" s="116"/>
      <c r="W129" s="116"/>
      <c r="X129" s="116"/>
      <c r="Y129" s="116"/>
      <c r="Z129" s="52"/>
      <c r="AA129" s="52"/>
      <c r="AB129" s="52"/>
      <c r="AC129" s="117"/>
      <c r="AD129" s="118" t="s">
        <v>293</v>
      </c>
      <c r="AE129" s="119" t="s">
        <v>36</v>
      </c>
      <c r="AF129" s="135" t="s">
        <v>37</v>
      </c>
      <c r="AH129" s="118"/>
      <c r="AI129" s="118"/>
      <c r="AJ129" s="118"/>
      <c r="AL129" s="118"/>
      <c r="AM129" s="118"/>
      <c r="AN129" s="118"/>
    </row>
    <row r="130" spans="1:40" s="93" customFormat="1" ht="39.950000000000003" customHeight="1" x14ac:dyDescent="0.25">
      <c r="A130" s="110">
        <v>31</v>
      </c>
      <c r="B130" s="139"/>
      <c r="C130" s="140" t="s">
        <v>145</v>
      </c>
      <c r="D130" s="140" t="s">
        <v>2176</v>
      </c>
      <c r="E130" s="141" t="s">
        <v>2177</v>
      </c>
      <c r="F130" s="142" t="str">
        <f t="shared" si="37"/>
        <v>23 años 10 meses 0 días</v>
      </c>
      <c r="G130" s="143">
        <v>0.7</v>
      </c>
      <c r="H130" s="110" t="str">
        <f t="shared" si="35"/>
        <v>47 años 0 meses 13 días</v>
      </c>
      <c r="I130" s="110" t="str">
        <f t="shared" si="36"/>
        <v>5 años 1 meses 5 días</v>
      </c>
      <c r="J130" s="195"/>
      <c r="K130" s="196"/>
      <c r="L130" s="197"/>
      <c r="M130" s="144">
        <v>31510.27</v>
      </c>
      <c r="N130" s="115">
        <f t="shared" si="38"/>
        <v>22057.188999999998</v>
      </c>
      <c r="O130" s="134"/>
      <c r="P130" s="134" t="s">
        <v>42</v>
      </c>
      <c r="Q130" s="115" t="s">
        <v>336</v>
      </c>
      <c r="R130" s="145">
        <v>36678</v>
      </c>
      <c r="S130" s="146">
        <v>45383</v>
      </c>
      <c r="T130" s="145">
        <v>28203</v>
      </c>
      <c r="U130" s="145">
        <v>43523</v>
      </c>
      <c r="V130" s="116"/>
      <c r="W130" s="116"/>
      <c r="X130" s="116"/>
      <c r="Y130" s="116"/>
      <c r="Z130" s="52"/>
      <c r="AA130" s="52"/>
      <c r="AB130" s="52"/>
      <c r="AC130" s="117"/>
      <c r="AD130" s="118" t="s">
        <v>129</v>
      </c>
      <c r="AE130" s="119" t="s">
        <v>36</v>
      </c>
      <c r="AF130" s="135" t="s">
        <v>37</v>
      </c>
      <c r="AH130" s="118"/>
      <c r="AI130" s="118"/>
      <c r="AJ130" s="118"/>
      <c r="AL130" s="118"/>
      <c r="AM130" s="118"/>
      <c r="AN130" s="118"/>
    </row>
    <row r="131" spans="1:40" s="93" customFormat="1" ht="39.950000000000003" customHeight="1" x14ac:dyDescent="0.25">
      <c r="A131" s="110">
        <v>32</v>
      </c>
      <c r="B131" s="141"/>
      <c r="C131" s="140" t="s">
        <v>149</v>
      </c>
      <c r="D131" s="140" t="s">
        <v>2178</v>
      </c>
      <c r="E131" s="141" t="s">
        <v>2179</v>
      </c>
      <c r="F131" s="142" t="str">
        <f t="shared" si="37"/>
        <v>28 años 0 meses 12 días</v>
      </c>
      <c r="G131" s="143">
        <v>0.8</v>
      </c>
      <c r="H131" s="110" t="str">
        <f t="shared" si="35"/>
        <v>45 años 3 meses 4 días</v>
      </c>
      <c r="I131" s="110" t="str">
        <f t="shared" si="36"/>
        <v>5 años 9 meses 16 días</v>
      </c>
      <c r="J131" s="195"/>
      <c r="K131" s="196"/>
      <c r="L131" s="197"/>
      <c r="M131" s="144">
        <v>23826.3</v>
      </c>
      <c r="N131" s="158">
        <f t="shared" si="38"/>
        <v>19061.04</v>
      </c>
      <c r="O131" s="134" t="s">
        <v>158</v>
      </c>
      <c r="P131" s="134" t="s">
        <v>42</v>
      </c>
      <c r="Q131" s="115" t="s">
        <v>339</v>
      </c>
      <c r="R131" s="145">
        <v>35034</v>
      </c>
      <c r="S131" s="146">
        <v>45273</v>
      </c>
      <c r="T131" s="145">
        <v>28742</v>
      </c>
      <c r="U131" s="145">
        <v>43158</v>
      </c>
      <c r="V131" s="116"/>
      <c r="W131" s="116"/>
      <c r="X131" s="116"/>
      <c r="Y131" s="116"/>
      <c r="Z131" s="52"/>
      <c r="AA131" s="52"/>
      <c r="AB131" s="52"/>
      <c r="AC131" s="117"/>
      <c r="AD131" s="118" t="s">
        <v>293</v>
      </c>
      <c r="AE131" s="119" t="s">
        <v>36</v>
      </c>
      <c r="AF131" s="135" t="s">
        <v>37</v>
      </c>
      <c r="AH131" s="118"/>
      <c r="AI131" s="118"/>
      <c r="AJ131" s="118"/>
      <c r="AL131" s="118"/>
      <c r="AM131" s="118"/>
      <c r="AN131" s="118"/>
    </row>
    <row r="132" spans="1:40" s="93" customFormat="1" ht="39.950000000000003" customHeight="1" x14ac:dyDescent="0.25">
      <c r="A132" s="110">
        <v>33</v>
      </c>
      <c r="B132" s="141"/>
      <c r="C132" s="140" t="s">
        <v>149</v>
      </c>
      <c r="D132" s="140" t="s">
        <v>2180</v>
      </c>
      <c r="E132" s="141" t="s">
        <v>2181</v>
      </c>
      <c r="F132" s="142" t="str">
        <f t="shared" si="37"/>
        <v>20 años 3 meses 12 días</v>
      </c>
      <c r="G132" s="143">
        <v>0.6</v>
      </c>
      <c r="H132" s="110" t="str">
        <f t="shared" si="35"/>
        <v>43 años 10 meses 15 días</v>
      </c>
      <c r="I132" s="110" t="str">
        <f t="shared" si="36"/>
        <v>4 años 9 meses 16 días</v>
      </c>
      <c r="J132" s="195"/>
      <c r="K132" s="196"/>
      <c r="L132" s="197"/>
      <c r="M132" s="144">
        <v>22588.39</v>
      </c>
      <c r="N132" s="158">
        <f t="shared" si="38"/>
        <v>13553.034</v>
      </c>
      <c r="O132" s="134" t="s">
        <v>158</v>
      </c>
      <c r="P132" s="134" t="s">
        <v>42</v>
      </c>
      <c r="Q132" s="115" t="s">
        <v>339</v>
      </c>
      <c r="R132" s="145">
        <v>37865</v>
      </c>
      <c r="S132" s="146">
        <v>45273</v>
      </c>
      <c r="T132" s="145">
        <v>29248</v>
      </c>
      <c r="U132" s="145">
        <v>43523</v>
      </c>
      <c r="V132" s="116"/>
      <c r="W132" s="116"/>
      <c r="X132" s="116"/>
      <c r="Y132" s="116"/>
      <c r="Z132" s="52"/>
      <c r="AA132" s="52"/>
      <c r="AB132" s="52"/>
      <c r="AC132" s="117"/>
      <c r="AD132" s="118" t="s">
        <v>293</v>
      </c>
      <c r="AE132" s="119" t="s">
        <v>36</v>
      </c>
      <c r="AF132" s="135" t="s">
        <v>37</v>
      </c>
      <c r="AH132" s="118"/>
      <c r="AI132" s="118"/>
      <c r="AJ132" s="118"/>
      <c r="AL132" s="118"/>
      <c r="AM132" s="118"/>
      <c r="AN132" s="118"/>
    </row>
    <row r="133" spans="1:40" s="93" customFormat="1" ht="39.950000000000003" customHeight="1" x14ac:dyDescent="0.25">
      <c r="A133" s="110">
        <v>34</v>
      </c>
      <c r="B133" s="141"/>
      <c r="C133" s="140" t="s">
        <v>149</v>
      </c>
      <c r="D133" s="140" t="s">
        <v>2182</v>
      </c>
      <c r="E133" s="141" t="s">
        <v>2183</v>
      </c>
      <c r="F133" s="142" t="str">
        <f t="shared" si="37"/>
        <v>20 años 2 meses 21 días</v>
      </c>
      <c r="G133" s="143">
        <v>0.6</v>
      </c>
      <c r="H133" s="110" t="str">
        <f t="shared" si="35"/>
        <v>42 años 6 meses 12 días</v>
      </c>
      <c r="I133" s="110" t="str">
        <f t="shared" si="36"/>
        <v>5 años 9 meses 16 días</v>
      </c>
      <c r="J133" s="195"/>
      <c r="K133" s="196"/>
      <c r="L133" s="197"/>
      <c r="M133" s="144">
        <v>23826.3</v>
      </c>
      <c r="N133" s="158">
        <f t="shared" si="38"/>
        <v>14295.779999999999</v>
      </c>
      <c r="O133" s="134" t="s">
        <v>158</v>
      </c>
      <c r="P133" s="134" t="s">
        <v>42</v>
      </c>
      <c r="Q133" s="115" t="s">
        <v>339</v>
      </c>
      <c r="R133" s="145">
        <v>40026</v>
      </c>
      <c r="S133" s="146">
        <v>45273</v>
      </c>
      <c r="T133" s="145">
        <v>29737</v>
      </c>
      <c r="U133" s="145">
        <v>43158</v>
      </c>
      <c r="V133" s="116">
        <v>37712</v>
      </c>
      <c r="W133" s="116">
        <v>39854</v>
      </c>
      <c r="X133" s="116"/>
      <c r="Y133" s="116"/>
      <c r="Z133" s="52"/>
      <c r="AA133" s="52"/>
      <c r="AB133" s="52"/>
      <c r="AC133" s="117"/>
      <c r="AD133" s="118" t="s">
        <v>293</v>
      </c>
      <c r="AE133" s="119" t="s">
        <v>36</v>
      </c>
      <c r="AF133" s="135" t="s">
        <v>37</v>
      </c>
      <c r="AH133" s="118">
        <v>1</v>
      </c>
      <c r="AI133" s="118"/>
      <c r="AJ133" s="118"/>
      <c r="AL133" s="118"/>
      <c r="AM133" s="118">
        <v>12</v>
      </c>
      <c r="AN133" s="118"/>
    </row>
    <row r="134" spans="1:40" ht="12.75" customHeight="1" x14ac:dyDescent="0.25"/>
    <row r="135" spans="1:40" s="91" customFormat="1" x14ac:dyDescent="0.25">
      <c r="A135" s="191" t="s">
        <v>234</v>
      </c>
      <c r="B135" s="191"/>
      <c r="C135" s="191"/>
      <c r="D135" s="191"/>
      <c r="E135" s="191"/>
      <c r="F135" s="191"/>
      <c r="G135" s="191"/>
      <c r="H135" s="191"/>
      <c r="I135" s="191"/>
      <c r="J135" s="191"/>
      <c r="K135" s="191"/>
      <c r="L135" s="191"/>
      <c r="M135" s="191"/>
      <c r="N135" s="191"/>
      <c r="O135" s="191"/>
      <c r="P135" s="191"/>
      <c r="Q135" s="191"/>
      <c r="R135" s="138"/>
      <c r="S135" s="90"/>
      <c r="T135" s="90"/>
      <c r="Z135" s="52"/>
      <c r="AA135" s="52"/>
      <c r="AB135" s="52"/>
      <c r="AD135" s="92"/>
      <c r="AG135" s="93"/>
      <c r="AH135" s="181" t="s">
        <v>2</v>
      </c>
      <c r="AI135" s="181"/>
      <c r="AJ135" s="181"/>
      <c r="AL135" s="181" t="s">
        <v>3</v>
      </c>
      <c r="AM135" s="181"/>
      <c r="AN135" s="181"/>
    </row>
    <row r="136" spans="1:40" s="104" customFormat="1" ht="30" customHeight="1" x14ac:dyDescent="0.25">
      <c r="A136" s="94" t="s">
        <v>4</v>
      </c>
      <c r="B136" s="94" t="s">
        <v>5</v>
      </c>
      <c r="C136" s="95" t="s">
        <v>6</v>
      </c>
      <c r="D136" s="95" t="s">
        <v>7</v>
      </c>
      <c r="E136" s="94" t="s">
        <v>8</v>
      </c>
      <c r="F136" s="96" t="s">
        <v>9</v>
      </c>
      <c r="G136" s="96" t="s">
        <v>10</v>
      </c>
      <c r="H136" s="95" t="s">
        <v>11</v>
      </c>
      <c r="I136" s="97" t="s">
        <v>12</v>
      </c>
      <c r="J136" s="182" t="s">
        <v>13</v>
      </c>
      <c r="K136" s="183"/>
      <c r="L136" s="98" t="s">
        <v>14</v>
      </c>
      <c r="M136" s="99" t="s">
        <v>15</v>
      </c>
      <c r="N136" s="99" t="s">
        <v>17</v>
      </c>
      <c r="O136" s="99" t="s">
        <v>18</v>
      </c>
      <c r="P136" s="99" t="s">
        <v>18</v>
      </c>
      <c r="Q136" s="99" t="s">
        <v>335</v>
      </c>
      <c r="R136" s="99" t="s">
        <v>1950</v>
      </c>
      <c r="S136" s="100" t="s">
        <v>19</v>
      </c>
      <c r="T136" s="100" t="s">
        <v>20</v>
      </c>
      <c r="U136" s="101" t="s">
        <v>21</v>
      </c>
      <c r="V136" s="95" t="s">
        <v>13</v>
      </c>
      <c r="W136" s="100" t="s">
        <v>19</v>
      </c>
      <c r="X136" s="100" t="s">
        <v>20</v>
      </c>
      <c r="Y136" s="100" t="s">
        <v>19</v>
      </c>
      <c r="Z136" s="100" t="s">
        <v>20</v>
      </c>
      <c r="AA136" s="52"/>
      <c r="AB136" s="52"/>
      <c r="AC136" s="102"/>
      <c r="AD136" s="100" t="s">
        <v>22</v>
      </c>
      <c r="AE136" s="100" t="s">
        <v>23</v>
      </c>
      <c r="AF136" s="100" t="s">
        <v>24</v>
      </c>
      <c r="AG136" s="93"/>
      <c r="AH136" s="103" t="s">
        <v>25</v>
      </c>
      <c r="AI136" s="103" t="s">
        <v>26</v>
      </c>
      <c r="AJ136" s="103" t="s">
        <v>27</v>
      </c>
      <c r="AK136" s="93"/>
      <c r="AL136" s="103" t="s">
        <v>25</v>
      </c>
      <c r="AM136" s="103" t="s">
        <v>26</v>
      </c>
      <c r="AN136" s="103" t="s">
        <v>28</v>
      </c>
    </row>
    <row r="137" spans="1:40" s="93" customFormat="1" ht="39.950000000000003" customHeight="1" x14ac:dyDescent="0.25">
      <c r="A137" s="110">
        <v>1</v>
      </c>
      <c r="B137" s="110"/>
      <c r="C137" s="140" t="s">
        <v>341</v>
      </c>
      <c r="D137" s="140" t="s">
        <v>2184</v>
      </c>
      <c r="E137" s="150" t="s">
        <v>2185</v>
      </c>
      <c r="F137" s="142" t="str">
        <f t="shared" ref="F137:F149" si="39">DATEDIF(R137,S137,"y") + DATEDIF(V137,W137,"y") + DATEDIF(X137,Y137,"y") + SUM(AH137) &amp; " años " &amp; DATEDIF(R137,S137,"ym") + DATEDIF(V137,W137,"ym") + DATEDIF(X137,Y137,"ym") + SUM(AI137) - SUM(AM137) &amp; " meses " &amp; DATEDIF(R137,S137,"md") + DATEDIF(V137,W137,"md") + DATEDIF(X137,Y137,"md") - SUM(AN137) &amp; " días"</f>
        <v>35 años 7 meses 14 días</v>
      </c>
      <c r="G137" s="143">
        <v>1</v>
      </c>
      <c r="H137" s="110" t="str">
        <f t="shared" ref="H137:H149" si="40">DATEDIF(T137,S137,"y") &amp; " años " &amp; DATEDIF(T137,S137,"ym") &amp; " meses " &amp; DATEDIF(T137,S137,"md") &amp; " días"</f>
        <v>63 años 5 meses 13 días</v>
      </c>
      <c r="I137" s="110" t="str">
        <f t="shared" ref="I137:I149" si="41">DATEDIF(U137,S137,"y") &amp; " años " &amp; DATEDIF(U137,S137,"ym") &amp; " meses " &amp; DATEDIF(U137,S137,"md") &amp; " días"</f>
        <v>13 años 1 meses 0 días</v>
      </c>
      <c r="J137" s="195" t="s">
        <v>13</v>
      </c>
      <c r="K137" s="196"/>
      <c r="L137" s="197"/>
      <c r="M137" s="151">
        <f>50275.72+25000</f>
        <v>75275.72</v>
      </c>
      <c r="N137" s="115">
        <f>M137*G137</f>
        <v>75275.72</v>
      </c>
      <c r="O137" s="134"/>
      <c r="P137" s="134" t="s">
        <v>42</v>
      </c>
      <c r="Q137" s="115" t="s">
        <v>336</v>
      </c>
      <c r="R137" s="145">
        <v>33664</v>
      </c>
      <c r="S137" s="146">
        <v>45383</v>
      </c>
      <c r="T137" s="145">
        <v>22208</v>
      </c>
      <c r="U137" s="145">
        <v>40603</v>
      </c>
      <c r="V137" s="116">
        <v>32328</v>
      </c>
      <c r="W137" s="116">
        <v>32693</v>
      </c>
      <c r="X137" s="116">
        <v>32707</v>
      </c>
      <c r="Y137" s="116">
        <v>33635</v>
      </c>
      <c r="Z137" s="162" t="s">
        <v>2186</v>
      </c>
      <c r="AA137" s="52"/>
      <c r="AB137" s="52"/>
      <c r="AC137" s="117"/>
      <c r="AD137" s="118" t="s">
        <v>293</v>
      </c>
      <c r="AE137" s="119" t="s">
        <v>36</v>
      </c>
      <c r="AF137" s="135" t="s">
        <v>37</v>
      </c>
      <c r="AH137" s="118"/>
      <c r="AI137" s="118"/>
      <c r="AJ137" s="118"/>
      <c r="AL137" s="118"/>
      <c r="AM137" s="118"/>
      <c r="AN137" s="118"/>
    </row>
    <row r="138" spans="1:40" s="93" customFormat="1" ht="39.950000000000003" customHeight="1" x14ac:dyDescent="0.25">
      <c r="A138" s="110">
        <v>2</v>
      </c>
      <c r="B138" s="110"/>
      <c r="C138" s="140" t="s">
        <v>39</v>
      </c>
      <c r="D138" s="140" t="s">
        <v>2187</v>
      </c>
      <c r="E138" s="150" t="s">
        <v>2188</v>
      </c>
      <c r="F138" s="142" t="str">
        <f t="shared" si="39"/>
        <v>35 años 8 meses 0 días</v>
      </c>
      <c r="G138" s="143">
        <v>1</v>
      </c>
      <c r="H138" s="110" t="str">
        <f t="shared" si="40"/>
        <v>54 años 10 meses 17 días</v>
      </c>
      <c r="I138" s="110" t="str">
        <f t="shared" si="41"/>
        <v>8 años 1 meses 5 días</v>
      </c>
      <c r="J138" s="195"/>
      <c r="K138" s="196"/>
      <c r="L138" s="197"/>
      <c r="M138" s="151">
        <v>90000</v>
      </c>
      <c r="N138" s="115">
        <f>M138*G138</f>
        <v>90000</v>
      </c>
      <c r="O138" s="134"/>
      <c r="P138" s="134" t="s">
        <v>42</v>
      </c>
      <c r="Q138" s="115" t="s">
        <v>336</v>
      </c>
      <c r="R138" s="145">
        <v>32356</v>
      </c>
      <c r="S138" s="146">
        <v>45383</v>
      </c>
      <c r="T138" s="145">
        <v>25338</v>
      </c>
      <c r="U138" s="145">
        <v>42427</v>
      </c>
      <c r="V138" s="116"/>
      <c r="W138" s="116"/>
      <c r="X138" s="116"/>
      <c r="Y138" s="116"/>
      <c r="Z138" s="52"/>
      <c r="AA138" s="52"/>
      <c r="AB138" s="52"/>
      <c r="AC138" s="117"/>
      <c r="AD138" s="118" t="s">
        <v>48</v>
      </c>
      <c r="AE138" s="119" t="s">
        <v>36</v>
      </c>
      <c r="AF138" s="135" t="s">
        <v>37</v>
      </c>
      <c r="AH138" s="118"/>
      <c r="AI138" s="118"/>
      <c r="AJ138" s="118"/>
      <c r="AL138" s="118"/>
      <c r="AM138" s="118"/>
      <c r="AN138" s="118"/>
    </row>
    <row r="139" spans="1:40" s="93" customFormat="1" ht="39.950000000000003" customHeight="1" x14ac:dyDescent="0.25">
      <c r="A139" s="110">
        <v>3</v>
      </c>
      <c r="B139" s="110"/>
      <c r="C139" s="140" t="s">
        <v>39</v>
      </c>
      <c r="D139" s="140" t="s">
        <v>2189</v>
      </c>
      <c r="E139" s="150" t="s">
        <v>2190</v>
      </c>
      <c r="F139" s="142" t="str">
        <f t="shared" si="39"/>
        <v>31 años 2 meses 0 días</v>
      </c>
      <c r="G139" s="149">
        <v>0.88</v>
      </c>
      <c r="H139" s="110" t="str">
        <f t="shared" si="40"/>
        <v>50 años 6 meses 14 días</v>
      </c>
      <c r="I139" s="110" t="str">
        <f t="shared" si="41"/>
        <v>5 años 1 meses 5 días</v>
      </c>
      <c r="J139" s="195"/>
      <c r="K139" s="196"/>
      <c r="L139" s="197"/>
      <c r="M139" s="151">
        <v>70000</v>
      </c>
      <c r="N139" s="115">
        <f t="shared" ref="N139:N149" si="42">M139*G139</f>
        <v>61600</v>
      </c>
      <c r="O139" s="134"/>
      <c r="P139" s="134" t="s">
        <v>42</v>
      </c>
      <c r="Q139" s="115" t="s">
        <v>336</v>
      </c>
      <c r="R139" s="145">
        <v>34001</v>
      </c>
      <c r="S139" s="146">
        <v>45383</v>
      </c>
      <c r="T139" s="145">
        <v>26925</v>
      </c>
      <c r="U139" s="145">
        <v>43523</v>
      </c>
      <c r="V139" s="116"/>
      <c r="W139" s="116"/>
      <c r="X139" s="116"/>
      <c r="Y139" s="116"/>
      <c r="Z139" s="162" t="s">
        <v>2186</v>
      </c>
      <c r="AA139" s="52"/>
      <c r="AB139" s="52"/>
      <c r="AC139" s="117"/>
      <c r="AD139" s="118" t="s">
        <v>129</v>
      </c>
      <c r="AE139" s="119" t="s">
        <v>36</v>
      </c>
      <c r="AF139" s="135" t="s">
        <v>37</v>
      </c>
      <c r="AH139" s="118"/>
      <c r="AI139" s="118"/>
      <c r="AJ139" s="118"/>
      <c r="AL139" s="118"/>
      <c r="AM139" s="118"/>
      <c r="AN139" s="118"/>
    </row>
    <row r="140" spans="1:40" s="93" customFormat="1" ht="39.950000000000003" customHeight="1" x14ac:dyDescent="0.25">
      <c r="A140" s="110">
        <v>4</v>
      </c>
      <c r="B140" s="110"/>
      <c r="C140" s="140" t="s">
        <v>39</v>
      </c>
      <c r="D140" s="140" t="s">
        <v>2191</v>
      </c>
      <c r="E140" s="150" t="s">
        <v>2192</v>
      </c>
      <c r="F140" s="142" t="str">
        <f t="shared" si="39"/>
        <v>34 años 0 meses 0 días</v>
      </c>
      <c r="G140" s="149">
        <v>0.97</v>
      </c>
      <c r="H140" s="110" t="str">
        <f t="shared" si="40"/>
        <v>55 años 10 meses 2 días</v>
      </c>
      <c r="I140" s="110" t="str">
        <f t="shared" si="41"/>
        <v>6 años 1 meses 0 días</v>
      </c>
      <c r="J140" s="195"/>
      <c r="K140" s="196"/>
      <c r="L140" s="197"/>
      <c r="M140" s="151">
        <v>60000</v>
      </c>
      <c r="N140" s="115">
        <f t="shared" si="42"/>
        <v>58200</v>
      </c>
      <c r="O140" s="134"/>
      <c r="P140" s="134" t="s">
        <v>42</v>
      </c>
      <c r="Q140" s="115" t="s">
        <v>336</v>
      </c>
      <c r="R140" s="145">
        <v>32964</v>
      </c>
      <c r="S140" s="146">
        <v>45383</v>
      </c>
      <c r="T140" s="145">
        <v>24988</v>
      </c>
      <c r="U140" s="145">
        <v>43160</v>
      </c>
      <c r="V140" s="116"/>
      <c r="W140" s="116"/>
      <c r="X140" s="116"/>
      <c r="Y140" s="116"/>
      <c r="Z140" s="162" t="s">
        <v>2186</v>
      </c>
      <c r="AA140" s="52"/>
      <c r="AB140" s="52"/>
      <c r="AC140" s="117"/>
      <c r="AD140" s="118" t="s">
        <v>268</v>
      </c>
      <c r="AE140" s="119" t="s">
        <v>36</v>
      </c>
      <c r="AF140" s="135" t="s">
        <v>37</v>
      </c>
      <c r="AH140" s="118"/>
      <c r="AI140" s="118"/>
      <c r="AJ140" s="118"/>
      <c r="AL140" s="118"/>
      <c r="AM140" s="118"/>
      <c r="AN140" s="118"/>
    </row>
    <row r="141" spans="1:40" s="93" customFormat="1" ht="39.950000000000003" customHeight="1" x14ac:dyDescent="0.25">
      <c r="A141" s="110">
        <v>5</v>
      </c>
      <c r="B141" s="110"/>
      <c r="C141" s="140" t="s">
        <v>39</v>
      </c>
      <c r="D141" s="140" t="s">
        <v>2193</v>
      </c>
      <c r="E141" s="141" t="s">
        <v>2194</v>
      </c>
      <c r="F141" s="142" t="str">
        <f t="shared" si="39"/>
        <v>19 años 9 meses 0 días</v>
      </c>
      <c r="G141" s="143">
        <v>0.6</v>
      </c>
      <c r="H141" s="110" t="str">
        <f t="shared" si="40"/>
        <v>63 años 9 meses 21 días</v>
      </c>
      <c r="I141" s="110" t="str">
        <f t="shared" si="41"/>
        <v>4 años 1 meses 5 días</v>
      </c>
      <c r="J141" s="195"/>
      <c r="K141" s="196"/>
      <c r="L141" s="197"/>
      <c r="M141" s="144">
        <f>39234.82+14000</f>
        <v>53234.82</v>
      </c>
      <c r="N141" s="115">
        <f t="shared" si="42"/>
        <v>31940.892</v>
      </c>
      <c r="O141" s="134"/>
      <c r="P141" s="134" t="s">
        <v>42</v>
      </c>
      <c r="Q141" s="115" t="s">
        <v>336</v>
      </c>
      <c r="R141" s="145">
        <v>38169</v>
      </c>
      <c r="S141" s="146">
        <v>45383</v>
      </c>
      <c r="T141" s="145">
        <v>22078</v>
      </c>
      <c r="U141" s="145">
        <v>43888</v>
      </c>
      <c r="V141" s="116"/>
      <c r="W141" s="116"/>
      <c r="X141" s="116"/>
      <c r="Y141" s="116"/>
      <c r="Z141" s="162" t="s">
        <v>2186</v>
      </c>
      <c r="AA141" s="52"/>
      <c r="AB141" s="52"/>
      <c r="AC141" s="117"/>
      <c r="AD141" s="118" t="s">
        <v>293</v>
      </c>
      <c r="AE141" s="119" t="s">
        <v>36</v>
      </c>
      <c r="AF141" s="135" t="s">
        <v>37</v>
      </c>
      <c r="AH141" s="118"/>
      <c r="AI141" s="118"/>
      <c r="AJ141" s="118"/>
      <c r="AL141" s="118"/>
      <c r="AM141" s="118"/>
      <c r="AN141" s="118"/>
    </row>
    <row r="142" spans="1:40" s="93" customFormat="1" ht="39.950000000000003" customHeight="1" x14ac:dyDescent="0.25">
      <c r="A142" s="110">
        <v>6</v>
      </c>
      <c r="B142" s="110"/>
      <c r="C142" s="140" t="s">
        <v>39</v>
      </c>
      <c r="D142" s="140" t="s">
        <v>2195</v>
      </c>
      <c r="E142" s="150" t="s">
        <v>2196</v>
      </c>
      <c r="F142" s="142" t="str">
        <f t="shared" si="39"/>
        <v>28 años 10 meses 0 días</v>
      </c>
      <c r="G142" s="149">
        <v>0.82499999999999996</v>
      </c>
      <c r="H142" s="110" t="str">
        <f t="shared" si="40"/>
        <v>59 años 8 meses 25 días</v>
      </c>
      <c r="I142" s="110" t="str">
        <f t="shared" si="41"/>
        <v>5 años 1 meses 5 días</v>
      </c>
      <c r="J142" s="195"/>
      <c r="K142" s="196"/>
      <c r="L142" s="197"/>
      <c r="M142" s="151">
        <v>42907.51</v>
      </c>
      <c r="N142" s="115">
        <f t="shared" si="42"/>
        <v>35398.695749999999</v>
      </c>
      <c r="O142" s="134"/>
      <c r="P142" s="134" t="s">
        <v>42</v>
      </c>
      <c r="Q142" s="115" t="s">
        <v>336</v>
      </c>
      <c r="R142" s="145">
        <v>34851</v>
      </c>
      <c r="S142" s="146">
        <v>45383</v>
      </c>
      <c r="T142" s="145">
        <v>23565</v>
      </c>
      <c r="U142" s="145">
        <v>43523</v>
      </c>
      <c r="V142" s="116"/>
      <c r="W142" s="116"/>
      <c r="X142" s="116"/>
      <c r="Y142" s="116"/>
      <c r="Z142" s="52"/>
      <c r="AA142" s="52"/>
      <c r="AB142" s="52"/>
      <c r="AC142" s="117"/>
      <c r="AD142" s="118" t="s">
        <v>268</v>
      </c>
      <c r="AE142" s="119" t="s">
        <v>36</v>
      </c>
      <c r="AF142" s="135" t="s">
        <v>37</v>
      </c>
      <c r="AH142" s="118"/>
      <c r="AI142" s="118"/>
      <c r="AJ142" s="118"/>
      <c r="AL142" s="118"/>
      <c r="AM142" s="118"/>
      <c r="AN142" s="118"/>
    </row>
    <row r="143" spans="1:40" s="93" customFormat="1" ht="39.950000000000003" customHeight="1" x14ac:dyDescent="0.25">
      <c r="A143" s="110">
        <v>7</v>
      </c>
      <c r="B143" s="110"/>
      <c r="C143" s="140" t="s">
        <v>49</v>
      </c>
      <c r="D143" s="140" t="s">
        <v>2197</v>
      </c>
      <c r="E143" s="150" t="s">
        <v>2198</v>
      </c>
      <c r="F143" s="142" t="str">
        <f t="shared" si="39"/>
        <v>32 años 2 meses 0 días</v>
      </c>
      <c r="G143" s="149">
        <v>0.91</v>
      </c>
      <c r="H143" s="110" t="str">
        <f t="shared" si="40"/>
        <v>53 años 5 meses 20 días</v>
      </c>
      <c r="I143" s="110" t="str">
        <f t="shared" si="41"/>
        <v>5 años 1 meses 5 días</v>
      </c>
      <c r="J143" s="195"/>
      <c r="K143" s="196"/>
      <c r="L143" s="197"/>
      <c r="M143" s="151">
        <v>39234.81</v>
      </c>
      <c r="N143" s="115">
        <f t="shared" si="42"/>
        <v>35703.677100000001</v>
      </c>
      <c r="O143" s="134"/>
      <c r="P143" s="134" t="s">
        <v>42</v>
      </c>
      <c r="Q143" s="115" t="s">
        <v>336</v>
      </c>
      <c r="R143" s="145">
        <v>33635</v>
      </c>
      <c r="S143" s="146">
        <v>45383</v>
      </c>
      <c r="T143" s="145">
        <v>25853</v>
      </c>
      <c r="U143" s="145">
        <v>43523</v>
      </c>
      <c r="V143" s="116"/>
      <c r="W143" s="116"/>
      <c r="X143" s="116"/>
      <c r="Y143" s="116"/>
      <c r="Z143" s="52"/>
      <c r="AA143" s="52"/>
      <c r="AB143" s="52"/>
      <c r="AC143" s="117"/>
      <c r="AD143" s="118" t="s">
        <v>293</v>
      </c>
      <c r="AE143" s="119" t="s">
        <v>36</v>
      </c>
      <c r="AF143" s="135" t="s">
        <v>37</v>
      </c>
      <c r="AH143" s="118"/>
      <c r="AI143" s="118"/>
      <c r="AJ143" s="118"/>
      <c r="AL143" s="118"/>
      <c r="AM143" s="118"/>
      <c r="AN143" s="118"/>
    </row>
    <row r="144" spans="1:40" s="93" customFormat="1" ht="39.950000000000003" customHeight="1" x14ac:dyDescent="0.25">
      <c r="A144" s="110">
        <v>8</v>
      </c>
      <c r="B144" s="110"/>
      <c r="C144" s="140" t="s">
        <v>49</v>
      </c>
      <c r="D144" s="140" t="s">
        <v>2199</v>
      </c>
      <c r="E144" s="150" t="s">
        <v>2200</v>
      </c>
      <c r="F144" s="142" t="str">
        <f t="shared" si="39"/>
        <v>35 años 7 meses 7 días</v>
      </c>
      <c r="G144" s="149">
        <v>1</v>
      </c>
      <c r="H144" s="110" t="str">
        <f t="shared" si="40"/>
        <v>53 años 1 meses 21 días</v>
      </c>
      <c r="I144" s="110" t="str">
        <f t="shared" si="41"/>
        <v>10 años 6 meses 25 días</v>
      </c>
      <c r="J144" s="195" t="s">
        <v>13</v>
      </c>
      <c r="K144" s="196"/>
      <c r="L144" s="197"/>
      <c r="M144" s="151">
        <v>60000</v>
      </c>
      <c r="N144" s="115">
        <f t="shared" si="42"/>
        <v>60000</v>
      </c>
      <c r="O144" s="134"/>
      <c r="P144" s="134" t="s">
        <v>42</v>
      </c>
      <c r="Q144" s="115" t="s">
        <v>336</v>
      </c>
      <c r="R144" s="145">
        <v>32380</v>
      </c>
      <c r="S144" s="146">
        <v>45383</v>
      </c>
      <c r="T144" s="145">
        <v>25975</v>
      </c>
      <c r="U144" s="145">
        <v>41524</v>
      </c>
      <c r="V144" s="116"/>
      <c r="W144" s="116"/>
      <c r="X144" s="116"/>
      <c r="Y144" s="116"/>
      <c r="Z144" s="52" t="s">
        <v>1973</v>
      </c>
      <c r="AA144" s="52"/>
      <c r="AB144" s="52"/>
      <c r="AC144" s="117"/>
      <c r="AD144" s="118" t="s">
        <v>48</v>
      </c>
      <c r="AE144" s="119" t="s">
        <v>36</v>
      </c>
      <c r="AF144" s="135" t="s">
        <v>37</v>
      </c>
      <c r="AH144" s="118"/>
      <c r="AI144" s="118"/>
      <c r="AJ144" s="118"/>
      <c r="AL144" s="118"/>
      <c r="AM144" s="118"/>
      <c r="AN144" s="118"/>
    </row>
    <row r="145" spans="1:40" s="93" customFormat="1" ht="39.950000000000003" customHeight="1" x14ac:dyDescent="0.25">
      <c r="A145" s="110">
        <v>9</v>
      </c>
      <c r="B145" s="110"/>
      <c r="C145" s="140" t="s">
        <v>49</v>
      </c>
      <c r="D145" s="140" t="s">
        <v>2201</v>
      </c>
      <c r="E145" s="150" t="s">
        <v>2202</v>
      </c>
      <c r="F145" s="142" t="str">
        <f t="shared" si="39"/>
        <v>35 años 9 meses 17 días</v>
      </c>
      <c r="G145" s="149">
        <v>1</v>
      </c>
      <c r="H145" s="110" t="str">
        <f t="shared" si="40"/>
        <v>58 años 3 meses 22 días</v>
      </c>
      <c r="I145" s="110" t="str">
        <f t="shared" si="41"/>
        <v>8 años 1 meses 5 días</v>
      </c>
      <c r="J145" s="195"/>
      <c r="K145" s="196"/>
      <c r="L145" s="197"/>
      <c r="M145" s="151">
        <v>39234.82</v>
      </c>
      <c r="N145" s="115">
        <f t="shared" si="42"/>
        <v>39234.82</v>
      </c>
      <c r="O145" s="134"/>
      <c r="P145" s="134" t="s">
        <v>42</v>
      </c>
      <c r="Q145" s="115" t="s">
        <v>336</v>
      </c>
      <c r="R145" s="145">
        <v>33770</v>
      </c>
      <c r="S145" s="146">
        <v>45383</v>
      </c>
      <c r="T145" s="145">
        <v>24086</v>
      </c>
      <c r="U145" s="145">
        <v>42427</v>
      </c>
      <c r="V145" s="116">
        <v>31990</v>
      </c>
      <c r="W145" s="116">
        <v>33450</v>
      </c>
      <c r="X145" s="116"/>
      <c r="Y145" s="116"/>
      <c r="Z145" s="52"/>
      <c r="AA145" s="52"/>
      <c r="AB145" s="52"/>
      <c r="AC145" s="117"/>
      <c r="AD145" s="118" t="s">
        <v>134</v>
      </c>
      <c r="AE145" s="119" t="s">
        <v>36</v>
      </c>
      <c r="AF145" s="135" t="s">
        <v>37</v>
      </c>
      <c r="AH145" s="118">
        <v>1</v>
      </c>
      <c r="AI145" s="118">
        <v>1</v>
      </c>
      <c r="AJ145" s="118"/>
      <c r="AL145" s="118"/>
      <c r="AM145" s="118">
        <v>12</v>
      </c>
      <c r="AN145" s="118">
        <v>30</v>
      </c>
    </row>
    <row r="146" spans="1:40" s="93" customFormat="1" ht="39.950000000000003" customHeight="1" x14ac:dyDescent="0.25">
      <c r="A146" s="110">
        <v>10</v>
      </c>
      <c r="B146" s="110"/>
      <c r="C146" s="140" t="s">
        <v>49</v>
      </c>
      <c r="D146" s="140" t="s">
        <v>2203</v>
      </c>
      <c r="E146" s="150" t="s">
        <v>2204</v>
      </c>
      <c r="F146" s="142" t="str">
        <f t="shared" si="39"/>
        <v>32 años 6 meses 17 días</v>
      </c>
      <c r="G146" s="149">
        <v>0.94</v>
      </c>
      <c r="H146" s="110" t="str">
        <f t="shared" si="40"/>
        <v>48 años 3 meses 20 días</v>
      </c>
      <c r="I146" s="110" t="str">
        <f t="shared" si="41"/>
        <v>4 años 1 meses 5 días</v>
      </c>
      <c r="J146" s="195"/>
      <c r="K146" s="196"/>
      <c r="L146" s="197"/>
      <c r="M146" s="151">
        <v>70000</v>
      </c>
      <c r="N146" s="115">
        <f t="shared" si="42"/>
        <v>65800</v>
      </c>
      <c r="O146" s="134"/>
      <c r="P146" s="134" t="s">
        <v>42</v>
      </c>
      <c r="Q146" s="115" t="s">
        <v>336</v>
      </c>
      <c r="R146" s="145">
        <v>33496</v>
      </c>
      <c r="S146" s="146">
        <v>45383</v>
      </c>
      <c r="T146" s="145">
        <v>27740</v>
      </c>
      <c r="U146" s="145">
        <v>43888</v>
      </c>
      <c r="V146" s="116"/>
      <c r="W146" s="116"/>
      <c r="X146" s="116"/>
      <c r="Y146" s="116"/>
      <c r="Z146" s="162" t="s">
        <v>2186</v>
      </c>
      <c r="AB146" s="52"/>
      <c r="AC146" s="117"/>
      <c r="AD146" s="118" t="s">
        <v>293</v>
      </c>
      <c r="AE146" s="119" t="s">
        <v>36</v>
      </c>
      <c r="AF146" s="135" t="s">
        <v>37</v>
      </c>
      <c r="AH146" s="118"/>
      <c r="AI146" s="118"/>
      <c r="AJ146" s="118"/>
      <c r="AL146" s="118"/>
      <c r="AM146" s="118"/>
      <c r="AN146" s="118"/>
    </row>
    <row r="147" spans="1:40" s="93" customFormat="1" ht="39.950000000000003" customHeight="1" x14ac:dyDescent="0.25">
      <c r="A147" s="110">
        <v>11</v>
      </c>
      <c r="B147" s="110"/>
      <c r="C147" s="140" t="s">
        <v>49</v>
      </c>
      <c r="D147" s="140" t="s">
        <v>2205</v>
      </c>
      <c r="E147" s="150" t="s">
        <v>2206</v>
      </c>
      <c r="F147" s="142" t="str">
        <f t="shared" si="39"/>
        <v>34 años 7 meses 0 días</v>
      </c>
      <c r="G147" s="149">
        <v>1</v>
      </c>
      <c r="H147" s="110" t="str">
        <f t="shared" si="40"/>
        <v>51 años 2 meses 3 días</v>
      </c>
      <c r="I147" s="110" t="str">
        <f t="shared" si="41"/>
        <v>9 años 1 meses 5 días</v>
      </c>
      <c r="J147" s="195"/>
      <c r="K147" s="196"/>
      <c r="L147" s="197"/>
      <c r="M147" s="151">
        <v>70000</v>
      </c>
      <c r="N147" s="115">
        <f t="shared" si="42"/>
        <v>70000</v>
      </c>
      <c r="O147" s="134"/>
      <c r="P147" s="134" t="s">
        <v>42</v>
      </c>
      <c r="Q147" s="115" t="s">
        <v>336</v>
      </c>
      <c r="R147" s="145">
        <v>32752</v>
      </c>
      <c r="S147" s="146">
        <v>45383</v>
      </c>
      <c r="T147" s="145">
        <v>26693</v>
      </c>
      <c r="U147" s="145">
        <v>42062</v>
      </c>
      <c r="V147" s="116"/>
      <c r="W147" s="116"/>
      <c r="X147" s="116"/>
      <c r="Y147" s="116"/>
      <c r="Z147" s="162" t="s">
        <v>2186</v>
      </c>
      <c r="AA147" s="52"/>
      <c r="AB147" s="52"/>
      <c r="AC147" s="117"/>
      <c r="AD147" s="118" t="s">
        <v>129</v>
      </c>
      <c r="AE147" s="119" t="s">
        <v>36</v>
      </c>
      <c r="AF147" s="135" t="s">
        <v>37</v>
      </c>
      <c r="AH147" s="118"/>
      <c r="AI147" s="118"/>
      <c r="AJ147" s="118"/>
      <c r="AL147" s="118"/>
      <c r="AM147" s="118"/>
      <c r="AN147" s="118"/>
    </row>
    <row r="148" spans="1:40" s="93" customFormat="1" ht="39.950000000000003" customHeight="1" x14ac:dyDescent="0.25">
      <c r="A148" s="110">
        <v>12</v>
      </c>
      <c r="B148" s="110"/>
      <c r="C148" s="140" t="s">
        <v>49</v>
      </c>
      <c r="D148" s="140" t="s">
        <v>2207</v>
      </c>
      <c r="E148" s="150" t="s">
        <v>2208</v>
      </c>
      <c r="F148" s="142" t="str">
        <f t="shared" si="39"/>
        <v>35 años 0 meses 0 días</v>
      </c>
      <c r="G148" s="149">
        <v>1</v>
      </c>
      <c r="H148" s="110" t="str">
        <f t="shared" si="40"/>
        <v>53 años 7 meses 6 días</v>
      </c>
      <c r="I148" s="110" t="str">
        <f t="shared" si="41"/>
        <v>9 años 1 meses 5 días</v>
      </c>
      <c r="J148" s="195"/>
      <c r="K148" s="196"/>
      <c r="L148" s="197"/>
      <c r="M148" s="151">
        <f>39234.82+14000</f>
        <v>53234.82</v>
      </c>
      <c r="N148" s="115">
        <f t="shared" si="42"/>
        <v>53234.82</v>
      </c>
      <c r="O148" s="134"/>
      <c r="P148" s="134" t="s">
        <v>42</v>
      </c>
      <c r="Q148" s="115" t="s">
        <v>336</v>
      </c>
      <c r="R148" s="145">
        <v>32599</v>
      </c>
      <c r="S148" s="146">
        <v>45383</v>
      </c>
      <c r="T148" s="145">
        <v>25806</v>
      </c>
      <c r="U148" s="145">
        <v>42062</v>
      </c>
      <c r="V148" s="116"/>
      <c r="W148" s="116"/>
      <c r="X148" s="116"/>
      <c r="Y148" s="116"/>
      <c r="Z148" s="162" t="s">
        <v>2186</v>
      </c>
      <c r="AA148" s="52"/>
      <c r="AB148" s="52"/>
      <c r="AC148" s="117"/>
      <c r="AD148" s="118" t="s">
        <v>134</v>
      </c>
      <c r="AE148" s="119" t="s">
        <v>36</v>
      </c>
      <c r="AF148" s="135" t="s">
        <v>37</v>
      </c>
      <c r="AH148" s="118"/>
      <c r="AI148" s="118"/>
      <c r="AJ148" s="118"/>
      <c r="AL148" s="118"/>
      <c r="AM148" s="118"/>
      <c r="AN148" s="118"/>
    </row>
    <row r="149" spans="1:40" s="93" customFormat="1" ht="39.950000000000003" customHeight="1" x14ac:dyDescent="0.25">
      <c r="A149" s="110">
        <v>13</v>
      </c>
      <c r="B149" s="110"/>
      <c r="C149" s="140" t="s">
        <v>49</v>
      </c>
      <c r="D149" s="140" t="s">
        <v>2209</v>
      </c>
      <c r="E149" s="150" t="s">
        <v>2210</v>
      </c>
      <c r="F149" s="142" t="str">
        <f t="shared" si="39"/>
        <v>36 años 5 meses 29 días</v>
      </c>
      <c r="G149" s="149">
        <v>1</v>
      </c>
      <c r="H149" s="110" t="str">
        <f t="shared" si="40"/>
        <v>54 años 10 meses 27 días</v>
      </c>
      <c r="I149" s="110" t="str">
        <f t="shared" si="41"/>
        <v>8 años 1 meses 5 días</v>
      </c>
      <c r="J149" s="195"/>
      <c r="K149" s="196"/>
      <c r="L149" s="197"/>
      <c r="M149" s="151">
        <v>39234.82</v>
      </c>
      <c r="N149" s="115">
        <f t="shared" si="42"/>
        <v>39234.82</v>
      </c>
      <c r="O149" s="134"/>
      <c r="P149" s="134" t="s">
        <v>42</v>
      </c>
      <c r="Q149" s="115" t="s">
        <v>336</v>
      </c>
      <c r="R149" s="145">
        <v>32295</v>
      </c>
      <c r="S149" s="146">
        <v>45383</v>
      </c>
      <c r="T149" s="145">
        <v>25328</v>
      </c>
      <c r="U149" s="145">
        <v>42427</v>
      </c>
      <c r="V149" s="116">
        <v>31503</v>
      </c>
      <c r="W149" s="116">
        <v>31746</v>
      </c>
      <c r="X149" s="116"/>
      <c r="Y149" s="116"/>
      <c r="Z149" s="52"/>
      <c r="AA149" s="52"/>
      <c r="AB149" s="52"/>
      <c r="AC149" s="117"/>
      <c r="AD149" s="118" t="s">
        <v>134</v>
      </c>
      <c r="AE149" s="119" t="s">
        <v>36</v>
      </c>
      <c r="AF149" s="135" t="s">
        <v>37</v>
      </c>
      <c r="AH149" s="118">
        <v>1</v>
      </c>
      <c r="AI149" s="118"/>
      <c r="AJ149" s="118"/>
      <c r="AL149" s="118"/>
      <c r="AM149" s="118">
        <v>12</v>
      </c>
      <c r="AN149" s="118"/>
    </row>
    <row r="150" spans="1:40" s="93" customFormat="1" ht="39.950000000000003" customHeight="1" x14ac:dyDescent="0.25">
      <c r="A150" s="110">
        <v>14</v>
      </c>
      <c r="B150" s="110"/>
      <c r="C150" s="140" t="s">
        <v>56</v>
      </c>
      <c r="D150" s="140" t="s">
        <v>2211</v>
      </c>
      <c r="E150" s="150" t="s">
        <v>2212</v>
      </c>
      <c r="F150" s="142" t="str">
        <f>DATEDIF(R150,S150,"y") + DATEDIF(V150,W150,"y") + DATEDIF(X150,Y150,"y") + SUM(AH150) &amp; " años " &amp; DATEDIF(R150,S150,"ym") + DATEDIF(V150,W150,"ym") + DATEDIF(X150,Y150,"ym") + SUM(AI150) - SUM(AM150) &amp; " meses " &amp; DATEDIF(R150,S150,"md") + DATEDIF(V150,W150,"md") + DATEDIF(X150,Y150,"md") - SUM(AN150) &amp; " días"</f>
        <v>25 años 0 meses 0 días</v>
      </c>
      <c r="G150" s="149">
        <v>0.72499999999999998</v>
      </c>
      <c r="H150" s="110" t="str">
        <f>DATEDIF(T150,S150,"y") &amp; " años " &amp; DATEDIF(T150,S150,"ym") &amp; " meses " &amp; DATEDIF(T150,S150,"md") &amp; " días"</f>
        <v>45 años 8 meses 19 días</v>
      </c>
      <c r="I150" s="110" t="str">
        <f>DATEDIF(U150,S150,"y") &amp; " años " &amp; DATEDIF(U150,S150,"ym") &amp; " meses " &amp; DATEDIF(U150,S150,"md") &amp; " días"</f>
        <v>2 años 1 meses 5 días</v>
      </c>
      <c r="J150" s="195"/>
      <c r="K150" s="196"/>
      <c r="L150" s="197"/>
      <c r="M150" s="151">
        <v>70000</v>
      </c>
      <c r="N150" s="115">
        <f>M150*G150</f>
        <v>50750</v>
      </c>
      <c r="O150" s="134"/>
      <c r="P150" s="134" t="s">
        <v>42</v>
      </c>
      <c r="Q150" s="115" t="s">
        <v>336</v>
      </c>
      <c r="R150" s="145">
        <v>36251</v>
      </c>
      <c r="S150" s="146">
        <v>45383</v>
      </c>
      <c r="T150" s="145">
        <v>28684</v>
      </c>
      <c r="U150" s="145">
        <v>44619</v>
      </c>
      <c r="V150" s="116"/>
      <c r="W150" s="116"/>
      <c r="X150" s="116"/>
      <c r="Y150" s="116"/>
      <c r="Z150" s="52" t="s">
        <v>1973</v>
      </c>
      <c r="AA150" s="52"/>
      <c r="AB150" s="52"/>
      <c r="AC150" s="117"/>
      <c r="AD150" s="118" t="s">
        <v>134</v>
      </c>
      <c r="AE150" s="119" t="s">
        <v>36</v>
      </c>
      <c r="AF150" s="135" t="s">
        <v>37</v>
      </c>
      <c r="AH150" s="118"/>
      <c r="AI150" s="118"/>
      <c r="AJ150" s="118"/>
      <c r="AL150" s="118"/>
      <c r="AM150" s="118"/>
      <c r="AN150" s="118"/>
    </row>
    <row r="151" spans="1:40" s="93" customFormat="1" ht="39.950000000000003" customHeight="1" x14ac:dyDescent="0.25">
      <c r="A151" s="110">
        <v>15</v>
      </c>
      <c r="B151" s="110"/>
      <c r="C151" s="140" t="s">
        <v>56</v>
      </c>
      <c r="D151" s="140" t="s">
        <v>2213</v>
      </c>
      <c r="E151" s="141" t="s">
        <v>2214</v>
      </c>
      <c r="F151" s="142" t="str">
        <f t="shared" ref="F151:F154" si="43">DATEDIF(R151,S151,"y") + DATEDIF(V151,W151,"y") + DATEDIF(X151,Y151,"y") + SUM(AH151) &amp; " años " &amp; DATEDIF(R151,S151,"ym") + DATEDIF(V151,W151,"ym") + DATEDIF(X151,Y151,"ym") + SUM(AI151) - SUM(AM151) &amp; " meses " &amp; DATEDIF(R151,S151,"md") + DATEDIF(V151,W151,"md") + DATEDIF(X151,Y151,"md") - SUM(AN151) &amp; " días"</f>
        <v>31 años 10 meses 17 días</v>
      </c>
      <c r="G151" s="143">
        <v>0.91</v>
      </c>
      <c r="H151" s="110" t="str">
        <f t="shared" ref="H151:H155" si="44">DATEDIF(T151,S151,"y") &amp; " años " &amp; DATEDIF(T151,S151,"ym") &amp; " meses " &amp; DATEDIF(T151,S151,"md") &amp; " días"</f>
        <v>53 años 11 meses 26 días</v>
      </c>
      <c r="I151" s="110" t="str">
        <f t="shared" ref="I151:I155" si="45">DATEDIF(U151,S151,"y") &amp; " años " &amp; DATEDIF(U151,S151,"ym") &amp; " meses " &amp; DATEDIF(U151,S151,"md") &amp; " días"</f>
        <v>8 años 1 meses 5 días</v>
      </c>
      <c r="J151" s="195"/>
      <c r="K151" s="196"/>
      <c r="L151" s="197"/>
      <c r="M151" s="144">
        <v>35615.53</v>
      </c>
      <c r="N151" s="115">
        <f t="shared" ref="N151:N154" si="46">M151*G151</f>
        <v>32410.132300000001</v>
      </c>
      <c r="O151" s="134"/>
      <c r="P151" s="134" t="s">
        <v>42</v>
      </c>
      <c r="Q151" s="115" t="s">
        <v>336</v>
      </c>
      <c r="R151" s="145">
        <v>33739</v>
      </c>
      <c r="S151" s="146">
        <v>45383</v>
      </c>
      <c r="T151" s="145">
        <v>25664</v>
      </c>
      <c r="U151" s="145">
        <v>42427</v>
      </c>
      <c r="V151" s="116"/>
      <c r="W151" s="116"/>
      <c r="X151" s="116"/>
      <c r="Y151" s="116"/>
      <c r="Z151" s="52"/>
      <c r="AA151" s="52"/>
      <c r="AB151" s="52"/>
      <c r="AC151" s="117"/>
      <c r="AD151" s="118" t="s">
        <v>129</v>
      </c>
      <c r="AE151" s="119" t="s">
        <v>36</v>
      </c>
      <c r="AF151" s="135" t="s">
        <v>37</v>
      </c>
      <c r="AH151" s="118"/>
      <c r="AI151" s="118"/>
      <c r="AJ151" s="118"/>
      <c r="AL151" s="118"/>
      <c r="AM151" s="118"/>
      <c r="AN151" s="118"/>
    </row>
    <row r="152" spans="1:40" s="93" customFormat="1" ht="39.950000000000003" customHeight="1" x14ac:dyDescent="0.25">
      <c r="A152" s="110">
        <v>16</v>
      </c>
      <c r="B152" s="110"/>
      <c r="C152" s="140" t="s">
        <v>56</v>
      </c>
      <c r="D152" s="140" t="s">
        <v>2215</v>
      </c>
      <c r="E152" s="141" t="s">
        <v>2216</v>
      </c>
      <c r="F152" s="142" t="str">
        <f t="shared" si="43"/>
        <v>32 años 1 meses 0 días</v>
      </c>
      <c r="G152" s="143">
        <v>0.91</v>
      </c>
      <c r="H152" s="110" t="str">
        <f t="shared" si="44"/>
        <v>53 años 4 meses 4 días</v>
      </c>
      <c r="I152" s="110" t="str">
        <f t="shared" si="45"/>
        <v>8 años 1 meses 5 días</v>
      </c>
      <c r="J152" s="195"/>
      <c r="K152" s="196"/>
      <c r="L152" s="197"/>
      <c r="M152" s="144">
        <v>35615.53</v>
      </c>
      <c r="N152" s="115">
        <f t="shared" si="46"/>
        <v>32410.132300000001</v>
      </c>
      <c r="O152" s="134"/>
      <c r="P152" s="134" t="s">
        <v>42</v>
      </c>
      <c r="Q152" s="115" t="s">
        <v>336</v>
      </c>
      <c r="R152" s="145">
        <v>33664</v>
      </c>
      <c r="S152" s="146">
        <v>45383</v>
      </c>
      <c r="T152" s="145">
        <v>25900</v>
      </c>
      <c r="U152" s="145">
        <v>42427</v>
      </c>
      <c r="V152" s="116"/>
      <c r="W152" s="116"/>
      <c r="X152" s="116"/>
      <c r="Y152" s="116"/>
      <c r="Z152" s="52"/>
      <c r="AA152" s="52"/>
      <c r="AB152" s="52"/>
      <c r="AC152" s="117"/>
      <c r="AD152" s="118" t="s">
        <v>129</v>
      </c>
      <c r="AE152" s="119" t="s">
        <v>36</v>
      </c>
      <c r="AF152" s="135" t="s">
        <v>37</v>
      </c>
      <c r="AH152" s="118"/>
      <c r="AI152" s="118"/>
      <c r="AJ152" s="118"/>
      <c r="AL152" s="118"/>
      <c r="AM152" s="118"/>
      <c r="AN152" s="118"/>
    </row>
    <row r="153" spans="1:40" s="93" customFormat="1" ht="39.950000000000003" customHeight="1" x14ac:dyDescent="0.25">
      <c r="A153" s="110">
        <v>17</v>
      </c>
      <c r="B153" s="110"/>
      <c r="C153" s="140" t="s">
        <v>56</v>
      </c>
      <c r="D153" s="140" t="s">
        <v>2217</v>
      </c>
      <c r="E153" s="141" t="s">
        <v>2218</v>
      </c>
      <c r="F153" s="142" t="str">
        <f t="shared" si="43"/>
        <v>33 años 2 meses 0 días</v>
      </c>
      <c r="G153" s="143">
        <v>0.94</v>
      </c>
      <c r="H153" s="110" t="str">
        <f t="shared" si="44"/>
        <v>49 años 6 meses 17 días</v>
      </c>
      <c r="I153" s="110" t="str">
        <f t="shared" si="45"/>
        <v>9 años 1 meses 5 días</v>
      </c>
      <c r="J153" s="195"/>
      <c r="K153" s="196"/>
      <c r="L153" s="197"/>
      <c r="M153" s="144">
        <f>35615.52</f>
        <v>35615.519999999997</v>
      </c>
      <c r="N153" s="115">
        <f t="shared" si="46"/>
        <v>33478.588799999998</v>
      </c>
      <c r="O153" s="134"/>
      <c r="P153" s="134" t="s">
        <v>42</v>
      </c>
      <c r="Q153" s="115" t="s">
        <v>336</v>
      </c>
      <c r="R153" s="145">
        <v>33270</v>
      </c>
      <c r="S153" s="146">
        <v>45383</v>
      </c>
      <c r="T153" s="145">
        <v>27287</v>
      </c>
      <c r="U153" s="145">
        <v>42062</v>
      </c>
      <c r="V153" s="116"/>
      <c r="W153" s="116"/>
      <c r="X153" s="116"/>
      <c r="Y153" s="116"/>
      <c r="Z153" s="52"/>
      <c r="AA153" s="52"/>
      <c r="AB153" s="52"/>
      <c r="AC153" s="117"/>
      <c r="AD153" s="118" t="s">
        <v>268</v>
      </c>
      <c r="AE153" s="119" t="s">
        <v>36</v>
      </c>
      <c r="AF153" s="135" t="s">
        <v>37</v>
      </c>
      <c r="AH153" s="118"/>
      <c r="AI153" s="118"/>
      <c r="AJ153" s="118"/>
      <c r="AL153" s="118"/>
      <c r="AM153" s="118"/>
      <c r="AN153" s="118"/>
    </row>
    <row r="154" spans="1:40" s="93" customFormat="1" ht="39.950000000000003" customHeight="1" x14ac:dyDescent="0.25">
      <c r="A154" s="110">
        <v>18</v>
      </c>
      <c r="B154" s="110"/>
      <c r="C154" s="140" t="s">
        <v>56</v>
      </c>
      <c r="D154" s="140" t="s">
        <v>2219</v>
      </c>
      <c r="E154" s="141" t="s">
        <v>2220</v>
      </c>
      <c r="F154" s="142" t="str">
        <f t="shared" si="43"/>
        <v>32 años 9 meses 1 días</v>
      </c>
      <c r="G154" s="143">
        <v>0.94</v>
      </c>
      <c r="H154" s="110" t="str">
        <f t="shared" si="44"/>
        <v>59 años 6 meses 24 días</v>
      </c>
      <c r="I154" s="110" t="str">
        <f t="shared" si="45"/>
        <v>6 años 1 meses 0 días</v>
      </c>
      <c r="J154" s="195"/>
      <c r="K154" s="196"/>
      <c r="L154" s="197"/>
      <c r="M154" s="144">
        <f>35615.52+12000</f>
        <v>47615.519999999997</v>
      </c>
      <c r="N154" s="115">
        <f t="shared" si="46"/>
        <v>44758.588799999998</v>
      </c>
      <c r="O154" s="134"/>
      <c r="P154" s="134" t="s">
        <v>42</v>
      </c>
      <c r="Q154" s="115" t="s">
        <v>336</v>
      </c>
      <c r="R154" s="145">
        <v>34881</v>
      </c>
      <c r="S154" s="146">
        <v>45383</v>
      </c>
      <c r="T154" s="145">
        <v>23628</v>
      </c>
      <c r="U154" s="145">
        <v>43160</v>
      </c>
      <c r="V154" s="116">
        <v>31990</v>
      </c>
      <c r="W154" s="116">
        <v>33452</v>
      </c>
      <c r="X154" s="116"/>
      <c r="Y154" s="116"/>
      <c r="Z154" s="52"/>
      <c r="AA154" s="52"/>
      <c r="AB154" s="52"/>
      <c r="AC154" s="117"/>
      <c r="AD154" s="118" t="s">
        <v>134</v>
      </c>
      <c r="AE154" s="119" t="s">
        <v>36</v>
      </c>
      <c r="AF154" s="135" t="s">
        <v>37</v>
      </c>
      <c r="AH154" s="118"/>
      <c r="AI154" s="118"/>
      <c r="AJ154" s="118"/>
      <c r="AL154" s="118"/>
      <c r="AM154" s="118"/>
      <c r="AN154" s="118"/>
    </row>
    <row r="155" spans="1:40" s="93" customFormat="1" ht="39.950000000000003" customHeight="1" x14ac:dyDescent="0.25">
      <c r="A155" s="110">
        <v>19</v>
      </c>
      <c r="B155" s="110"/>
      <c r="C155" s="140" t="s">
        <v>56</v>
      </c>
      <c r="D155" s="140" t="s">
        <v>2221</v>
      </c>
      <c r="E155" s="150" t="s">
        <v>2222</v>
      </c>
      <c r="F155" s="142" t="str">
        <f t="shared" ref="F155" si="47">DATEDIF(R155,S155,"y") + DATEDIF(V155,W155,"y") + DATEDIF(X155,Y155,"y") + SUM(AH155) &amp; " años " &amp; DATEDIF(R155,S155,"ym") + DATEDIF(V155,W155,"ym") + DATEDIF(X155,Y155,"ym") + SUM(AI155) - SUM(AM155) &amp; " meses " &amp; DATEDIF(R155,S155,"md") + DATEDIF(V155,W155,"md") + DATEDIF(X155,Y155,"md") - SUM(AN155) &amp; " días"</f>
        <v>31 años 1 meses 0 días</v>
      </c>
      <c r="G155" s="149">
        <v>0.88</v>
      </c>
      <c r="H155" s="110" t="str">
        <f t="shared" si="44"/>
        <v>47 años 4 meses 23 días</v>
      </c>
      <c r="I155" s="110" t="str">
        <f t="shared" si="45"/>
        <v>8 años 1 meses 5 días</v>
      </c>
      <c r="J155" s="195"/>
      <c r="K155" s="196"/>
      <c r="L155" s="197"/>
      <c r="M155" s="151">
        <v>65000</v>
      </c>
      <c r="N155" s="115">
        <f>M155*G155</f>
        <v>57200</v>
      </c>
      <c r="O155" s="134"/>
      <c r="P155" s="134" t="s">
        <v>42</v>
      </c>
      <c r="Q155" s="115" t="s">
        <v>336</v>
      </c>
      <c r="R155" s="145">
        <v>38107</v>
      </c>
      <c r="S155" s="146">
        <v>45383</v>
      </c>
      <c r="T155" s="145">
        <v>28073</v>
      </c>
      <c r="U155" s="145">
        <v>42427</v>
      </c>
      <c r="V155" s="116">
        <v>34029</v>
      </c>
      <c r="W155" s="116">
        <v>38107</v>
      </c>
      <c r="X155" s="116"/>
      <c r="Y155" s="116"/>
      <c r="Z155" s="52"/>
      <c r="AA155" s="52"/>
      <c r="AB155" s="52"/>
      <c r="AC155" s="117"/>
      <c r="AD155" s="118" t="s">
        <v>293</v>
      </c>
      <c r="AE155" s="119" t="s">
        <v>36</v>
      </c>
      <c r="AF155" s="135" t="s">
        <v>37</v>
      </c>
      <c r="AH155" s="118">
        <v>1</v>
      </c>
      <c r="AI155" s="118">
        <v>1</v>
      </c>
      <c r="AJ155" s="118"/>
      <c r="AL155" s="118"/>
      <c r="AM155" s="118">
        <v>12</v>
      </c>
      <c r="AN155" s="118">
        <v>31</v>
      </c>
    </row>
    <row r="156" spans="1:40" s="93" customFormat="1" ht="39.950000000000003" customHeight="1" x14ac:dyDescent="0.25">
      <c r="A156" s="110">
        <v>20</v>
      </c>
      <c r="B156" s="110"/>
      <c r="C156" s="148" t="s">
        <v>56</v>
      </c>
      <c r="D156" s="152" t="s">
        <v>2223</v>
      </c>
      <c r="E156" s="153" t="s">
        <v>2224</v>
      </c>
      <c r="F156" s="142" t="str">
        <f>DATEDIF(R156,S156,"y") + DATEDIF(V156,W156,"y") + DATEDIF(X156,Y156,"y") + DATEDIF(Z156,AA156,"y") + SUM(AH156) &amp; " años " &amp; DATEDIF(R156,S156,"ym") + DATEDIF(V156,W156,"ym") + DATEDIF(X156,Y156,"ym") + DATEDIF(Z156,AA156,"ym") + SUM(AI156) - SUM(AM156) &amp; " meses " &amp; DATEDIF(R156,S156,"md") + DATEDIF(V156,W156,"md") + DATEDIF(X156,Y156,"md")  + DATEDIF(Z156,AA156,"md") - SUM(AN156) &amp; " días"</f>
        <v>31 años 6 meses 7 días</v>
      </c>
      <c r="G156" s="149">
        <v>1</v>
      </c>
      <c r="H156" s="110" t="str">
        <f>DATEDIF(T156,S156,"y") &amp; " años " &amp; DATEDIF(T156,S156,"ym") &amp; " meses " &amp; DATEDIF(T156,S156,"md") &amp; " días"</f>
        <v>57 años 9 meses 12 días</v>
      </c>
      <c r="I156" s="110" t="str">
        <f>DATEDIF(U156,S156,"y") &amp; " años " &amp; DATEDIF(U156,S156,"ym") &amp; " meses " &amp; DATEDIF(U156,S156,"md") &amp; " días"</f>
        <v>8 años 1 meses 5 días</v>
      </c>
      <c r="J156" s="195"/>
      <c r="K156" s="196"/>
      <c r="L156" s="197"/>
      <c r="M156" s="115">
        <v>35615.53</v>
      </c>
      <c r="N156" s="115">
        <f>M156*G156</f>
        <v>35615.53</v>
      </c>
      <c r="O156" s="134" t="s">
        <v>2064</v>
      </c>
      <c r="P156" s="134" t="s">
        <v>33</v>
      </c>
      <c r="Q156" s="115" t="s">
        <v>337</v>
      </c>
      <c r="R156" s="154">
        <v>36218</v>
      </c>
      <c r="S156" s="154">
        <v>45383</v>
      </c>
      <c r="T156" s="155">
        <v>24278</v>
      </c>
      <c r="U156" s="155">
        <v>42427</v>
      </c>
      <c r="V156" s="116">
        <v>31382</v>
      </c>
      <c r="W156" s="116">
        <v>31746</v>
      </c>
      <c r="X156" s="116">
        <v>32295</v>
      </c>
      <c r="Y156" s="116">
        <v>33305</v>
      </c>
      <c r="Z156" s="116">
        <v>35247</v>
      </c>
      <c r="AA156" s="116">
        <v>36218</v>
      </c>
      <c r="AB156"/>
      <c r="AC156" s="117"/>
      <c r="AD156" s="118" t="s">
        <v>35</v>
      </c>
      <c r="AE156" s="119" t="s">
        <v>36</v>
      </c>
      <c r="AF156" s="135" t="s">
        <v>37</v>
      </c>
      <c r="AH156" s="118">
        <v>2</v>
      </c>
      <c r="AI156" s="118">
        <v>2</v>
      </c>
      <c r="AJ156" s="118"/>
      <c r="AL156" s="118"/>
      <c r="AM156" s="118">
        <v>24</v>
      </c>
      <c r="AN156" s="118">
        <v>60</v>
      </c>
    </row>
    <row r="157" spans="1:40" s="93" customFormat="1" ht="39.950000000000003" customHeight="1" x14ac:dyDescent="0.25">
      <c r="A157" s="110">
        <v>21</v>
      </c>
      <c r="B157" s="110"/>
      <c r="C157" s="148" t="s">
        <v>56</v>
      </c>
      <c r="D157" s="152" t="s">
        <v>2225</v>
      </c>
      <c r="E157" s="153" t="s">
        <v>2226</v>
      </c>
      <c r="F157" s="142" t="str">
        <f>DATEDIF(R157,S157,"y") + DATEDIF(V157,W157,"y") + DATEDIF(X157,Y157,"y") + SUM(AH157) &amp; " años " &amp; DATEDIF(R157,S157,"ym") + DATEDIF(V157,W157,"ym") + DATEDIF(X157,Y157,"ym") + SUM(AI157) - SUM(AM157) &amp; " meses " &amp; DATEDIF(R157,S157,"md") + DATEDIF(V157,W157,"md") + DATEDIF(X157,Y157,"md") - SUM(AN157) &amp; " días"</f>
        <v>34 años 10 meses 29 días</v>
      </c>
      <c r="G157" s="149">
        <v>1</v>
      </c>
      <c r="H157" s="110" t="str">
        <f>DATEDIF(T157,S157,"y") &amp; " años " &amp; DATEDIF(T157,S157,"ym") &amp; " meses " &amp; DATEDIF(T157,S157,"md") &amp; " días"</f>
        <v>58 años 3 meses 0 días</v>
      </c>
      <c r="I157" s="110" t="str">
        <f>DATEDIF(U157,S157,"y") &amp; " años " &amp; DATEDIF(U157,S157,"ym") &amp; " meses " &amp; DATEDIF(U157,S157,"md") &amp; " días"</f>
        <v>8 años 1 meses 5 días</v>
      </c>
      <c r="J157" s="195"/>
      <c r="K157" s="196"/>
      <c r="L157" s="197"/>
      <c r="M157" s="115">
        <v>35615.53</v>
      </c>
      <c r="N157" s="115">
        <f>M157*G157</f>
        <v>35615.53</v>
      </c>
      <c r="O157" s="134" t="s">
        <v>2064</v>
      </c>
      <c r="P157" s="134" t="s">
        <v>33</v>
      </c>
      <c r="Q157" s="115" t="s">
        <v>337</v>
      </c>
      <c r="R157" s="154">
        <v>34029</v>
      </c>
      <c r="S157" s="154">
        <v>45383</v>
      </c>
      <c r="T157" s="155">
        <v>24108</v>
      </c>
      <c r="U157" s="155">
        <v>42427</v>
      </c>
      <c r="V157" s="116">
        <v>31427</v>
      </c>
      <c r="W157" s="116">
        <v>32825</v>
      </c>
      <c r="X157" s="116"/>
      <c r="Y157" s="116"/>
      <c r="Z157"/>
      <c r="AA157"/>
      <c r="AB157"/>
      <c r="AC157" s="117"/>
      <c r="AD157" s="118" t="s">
        <v>293</v>
      </c>
      <c r="AE157" s="119" t="s">
        <v>36</v>
      </c>
      <c r="AF157" s="135" t="s">
        <v>37</v>
      </c>
      <c r="AH157" s="118"/>
      <c r="AI157" s="118"/>
      <c r="AJ157" s="118"/>
      <c r="AL157" s="118"/>
      <c r="AM157" s="118"/>
      <c r="AN157" s="118"/>
    </row>
    <row r="158" spans="1:40" s="93" customFormat="1" ht="39.950000000000003" customHeight="1" x14ac:dyDescent="0.25">
      <c r="A158" s="110">
        <v>22</v>
      </c>
      <c r="B158" s="110"/>
      <c r="C158" s="140" t="s">
        <v>87</v>
      </c>
      <c r="D158" s="140" t="s">
        <v>2227</v>
      </c>
      <c r="E158" s="150" t="s">
        <v>2228</v>
      </c>
      <c r="F158" s="142" t="str">
        <f t="shared" ref="F158:F161" si="48">DATEDIF(R158,S158,"y") + DATEDIF(V158,W158,"y") + DATEDIF(X158,Y158,"y") + SUM(AH158) &amp; " años " &amp; DATEDIF(R158,S158,"ym") + DATEDIF(V158,W158,"ym") + DATEDIF(X158,Y158,"ym") + SUM(AI158) - SUM(AM158) &amp; " meses " &amp; DATEDIF(R158,S158,"md") + DATEDIF(V158,W158,"md") + DATEDIF(X158,Y158,"md") - SUM(AN158) &amp; " días"</f>
        <v>26 años 10 meses 0 días</v>
      </c>
      <c r="G158" s="149">
        <v>0.77500000000000002</v>
      </c>
      <c r="H158" s="110" t="str">
        <f t="shared" ref="H158:H161" si="49">DATEDIF(T158,S158,"y") &amp; " años " &amp; DATEDIF(T158,S158,"ym") &amp; " meses " &amp; DATEDIF(T158,S158,"md") &amp; " días"</f>
        <v>42 años 4 meses 25 días</v>
      </c>
      <c r="I158" s="110" t="str">
        <f t="shared" ref="I158:I161" si="50">DATEDIF(U158,S158,"y") &amp; " años " &amp; DATEDIF(U158,S158,"ym") &amp; " meses " &amp; DATEDIF(U158,S158,"md") &amp; " días"</f>
        <v>7 años 1 meses 0 días</v>
      </c>
      <c r="J158" s="195"/>
      <c r="K158" s="196"/>
      <c r="L158" s="197"/>
      <c r="M158" s="151">
        <f>34575.77+8000</f>
        <v>42575.77</v>
      </c>
      <c r="N158" s="115">
        <f>M158*G158</f>
        <v>32996.221749999997</v>
      </c>
      <c r="O158" s="134"/>
      <c r="P158" s="134" t="s">
        <v>42</v>
      </c>
      <c r="Q158" s="115" t="s">
        <v>336</v>
      </c>
      <c r="R158" s="145">
        <v>35583</v>
      </c>
      <c r="S158" s="146">
        <v>45383</v>
      </c>
      <c r="T158" s="145">
        <v>29897</v>
      </c>
      <c r="U158" s="145">
        <v>42795</v>
      </c>
      <c r="V158" s="116"/>
      <c r="W158" s="116"/>
      <c r="X158" s="116"/>
      <c r="Y158" s="116"/>
      <c r="Z158" s="52"/>
      <c r="AA158" s="52"/>
      <c r="AB158" s="52"/>
      <c r="AC158" s="117"/>
      <c r="AD158" s="118" t="s">
        <v>293</v>
      </c>
      <c r="AE158" s="119" t="s">
        <v>36</v>
      </c>
      <c r="AF158" s="135" t="s">
        <v>37</v>
      </c>
      <c r="AH158" s="118"/>
      <c r="AI158" s="118">
        <v>1</v>
      </c>
      <c r="AJ158" s="118"/>
      <c r="AL158" s="118"/>
      <c r="AM158" s="118"/>
      <c r="AN158" s="118">
        <v>30</v>
      </c>
    </row>
    <row r="159" spans="1:40" s="93" customFormat="1" ht="39.950000000000003" customHeight="1" x14ac:dyDescent="0.25">
      <c r="A159" s="110">
        <v>23</v>
      </c>
      <c r="B159" s="110"/>
      <c r="C159" s="140" t="s">
        <v>87</v>
      </c>
      <c r="D159" s="140" t="s">
        <v>2229</v>
      </c>
      <c r="E159" s="150" t="s">
        <v>2230</v>
      </c>
      <c r="F159" s="142" t="str">
        <f t="shared" si="48"/>
        <v>23 años 6 meses 0 días</v>
      </c>
      <c r="G159" s="149">
        <v>0.7</v>
      </c>
      <c r="H159" s="110" t="str">
        <f t="shared" si="49"/>
        <v>42 años 5 meses 18 días</v>
      </c>
      <c r="I159" s="110" t="str">
        <f t="shared" si="50"/>
        <v>4 años 1 meses 5 días</v>
      </c>
      <c r="J159" s="195"/>
      <c r="K159" s="196"/>
      <c r="L159" s="197"/>
      <c r="M159" s="151">
        <v>32541.78</v>
      </c>
      <c r="N159" s="115">
        <f t="shared" ref="N159:N161" si="51">M159*G159</f>
        <v>22779.245999999999</v>
      </c>
      <c r="O159" s="134"/>
      <c r="P159" s="134" t="s">
        <v>42</v>
      </c>
      <c r="Q159" s="115" t="s">
        <v>336</v>
      </c>
      <c r="R159" s="145">
        <v>36800</v>
      </c>
      <c r="S159" s="146">
        <v>45383</v>
      </c>
      <c r="T159" s="145">
        <v>29873</v>
      </c>
      <c r="U159" s="145">
        <v>43888</v>
      </c>
      <c r="V159" s="116"/>
      <c r="W159" s="116"/>
      <c r="X159" s="116"/>
      <c r="Y159" s="116"/>
      <c r="Z159" s="52"/>
      <c r="AA159" s="52"/>
      <c r="AB159" s="52"/>
      <c r="AC159" s="117"/>
      <c r="AD159" s="118" t="s">
        <v>48</v>
      </c>
      <c r="AE159" s="119" t="s">
        <v>36</v>
      </c>
      <c r="AF159" s="135" t="s">
        <v>37</v>
      </c>
      <c r="AH159" s="118"/>
      <c r="AI159" s="118"/>
      <c r="AJ159" s="118"/>
      <c r="AL159" s="118"/>
      <c r="AM159" s="118"/>
      <c r="AN159" s="118"/>
    </row>
    <row r="160" spans="1:40" s="93" customFormat="1" ht="39.950000000000003" customHeight="1" x14ac:dyDescent="0.25">
      <c r="A160" s="110">
        <v>24</v>
      </c>
      <c r="B160" s="110"/>
      <c r="C160" s="140" t="s">
        <v>87</v>
      </c>
      <c r="D160" s="140" t="s">
        <v>2231</v>
      </c>
      <c r="E160" s="141" t="s">
        <v>2232</v>
      </c>
      <c r="F160" s="142" t="str">
        <f t="shared" si="48"/>
        <v>21 años 6 meses 0 días</v>
      </c>
      <c r="G160" s="143">
        <v>0.65</v>
      </c>
      <c r="H160" s="110" t="str">
        <f t="shared" si="49"/>
        <v>42 años 6 meses 30 días</v>
      </c>
      <c r="I160" s="110" t="str">
        <f t="shared" si="50"/>
        <v>5 años 1 meses 5 días</v>
      </c>
      <c r="J160" s="195"/>
      <c r="K160" s="196"/>
      <c r="L160" s="197"/>
      <c r="M160" s="151">
        <f>34575.77+8000</f>
        <v>42575.77</v>
      </c>
      <c r="N160" s="115">
        <f t="shared" si="51"/>
        <v>27674.250499999998</v>
      </c>
      <c r="O160" s="134"/>
      <c r="P160" s="134" t="s">
        <v>42</v>
      </c>
      <c r="Q160" s="115" t="s">
        <v>336</v>
      </c>
      <c r="R160" s="145">
        <v>37530</v>
      </c>
      <c r="S160" s="146">
        <v>45383</v>
      </c>
      <c r="T160" s="145">
        <v>29831</v>
      </c>
      <c r="U160" s="145">
        <v>43523</v>
      </c>
      <c r="V160" s="116"/>
      <c r="W160" s="116"/>
      <c r="X160" s="116"/>
      <c r="Y160" s="116"/>
      <c r="Z160" s="52"/>
      <c r="AA160" s="52"/>
      <c r="AB160" s="52"/>
      <c r="AC160" s="117"/>
      <c r="AD160" s="118" t="s">
        <v>293</v>
      </c>
      <c r="AE160" s="119" t="s">
        <v>36</v>
      </c>
      <c r="AF160" s="135" t="s">
        <v>37</v>
      </c>
      <c r="AH160" s="118"/>
      <c r="AI160" s="118"/>
      <c r="AJ160" s="118"/>
      <c r="AL160" s="118"/>
      <c r="AM160" s="118"/>
      <c r="AN160" s="118"/>
    </row>
    <row r="161" spans="1:40" s="93" customFormat="1" ht="39.950000000000003" customHeight="1" x14ac:dyDescent="0.25">
      <c r="A161" s="110">
        <v>25</v>
      </c>
      <c r="B161" s="110"/>
      <c r="C161" s="140" t="s">
        <v>87</v>
      </c>
      <c r="D161" s="140" t="s">
        <v>2233</v>
      </c>
      <c r="E161" s="150" t="s">
        <v>2234</v>
      </c>
      <c r="F161" s="142" t="str">
        <f t="shared" si="48"/>
        <v>21 años 9 meses 17 días</v>
      </c>
      <c r="G161" s="149">
        <v>0.65</v>
      </c>
      <c r="H161" s="110" t="str">
        <f t="shared" si="49"/>
        <v>41 años 1 meses 21 días</v>
      </c>
      <c r="I161" s="110" t="str">
        <f t="shared" si="50"/>
        <v>6 años 1 meses 0 días</v>
      </c>
      <c r="J161" s="195"/>
      <c r="K161" s="196"/>
      <c r="L161" s="197"/>
      <c r="M161" s="151">
        <v>34575.78</v>
      </c>
      <c r="N161" s="115">
        <f t="shared" si="51"/>
        <v>22474.257000000001</v>
      </c>
      <c r="O161" s="134"/>
      <c r="P161" s="134" t="s">
        <v>42</v>
      </c>
      <c r="Q161" s="115" t="s">
        <v>336</v>
      </c>
      <c r="R161" s="145">
        <v>37422</v>
      </c>
      <c r="S161" s="146">
        <v>45383</v>
      </c>
      <c r="T161" s="145">
        <v>30358</v>
      </c>
      <c r="U161" s="145">
        <v>43160</v>
      </c>
      <c r="V161" s="116"/>
      <c r="W161" s="116"/>
      <c r="X161" s="116"/>
      <c r="Y161" s="116"/>
      <c r="Z161" s="52"/>
      <c r="AA161" s="52"/>
      <c r="AB161" s="52"/>
      <c r="AC161" s="117"/>
      <c r="AD161" s="118" t="s">
        <v>48</v>
      </c>
      <c r="AE161" s="119" t="s">
        <v>36</v>
      </c>
      <c r="AF161" s="135" t="s">
        <v>37</v>
      </c>
      <c r="AH161" s="118"/>
      <c r="AI161" s="118"/>
      <c r="AJ161" s="118"/>
      <c r="AL161" s="118"/>
      <c r="AM161" s="118"/>
      <c r="AN161" s="118"/>
    </row>
    <row r="162" spans="1:40" s="93" customFormat="1" ht="39.950000000000003" customHeight="1" x14ac:dyDescent="0.25">
      <c r="A162" s="110">
        <v>26</v>
      </c>
      <c r="B162" s="110"/>
      <c r="C162" s="148" t="s">
        <v>87</v>
      </c>
      <c r="D162" s="152" t="s">
        <v>2235</v>
      </c>
      <c r="E162" s="153" t="s">
        <v>2236</v>
      </c>
      <c r="F162" s="142" t="str">
        <f>DATEDIF(R162,S162,"y") + DATEDIF(V162,W162,"y") + DATEDIF(X162,Y162,"y") + SUM(AH162) &amp; " años " &amp; DATEDIF(R162,S162,"ym") + DATEDIF(V162,W162,"ym") + DATEDIF(X162,Y162,"ym") + SUM(AI162) - SUM(AM162) &amp; " meses " &amp; DATEDIF(R162,S162,"md") + DATEDIF(V162,W162,"md") + DATEDIF(X162,Y162,"md") - SUM(AN162) &amp; " días"</f>
        <v>33 años 10 meses 13 días</v>
      </c>
      <c r="G162" s="149">
        <v>1</v>
      </c>
      <c r="H162" s="110" t="str">
        <f>DATEDIF(T162,S162,"y") &amp; " años " &amp; DATEDIF(T162,S162,"ym") &amp; " meses " &amp; DATEDIF(T162,S162,"md") &amp; " días"</f>
        <v>54 años 3 meses 24 días</v>
      </c>
      <c r="I162" s="110" t="str">
        <f>DATEDIF(U162,S162,"y") &amp; " años " &amp; DATEDIF(U162,S162,"ym") &amp; " meses " &amp; DATEDIF(U162,S162,"md") &amp; " días"</f>
        <v>9 años 1 meses 5 días</v>
      </c>
      <c r="J162" s="195"/>
      <c r="K162" s="196"/>
      <c r="L162" s="197"/>
      <c r="M162" s="115">
        <v>34575.78</v>
      </c>
      <c r="N162" s="115">
        <f>M162*G162</f>
        <v>34575.78</v>
      </c>
      <c r="O162" s="134" t="s">
        <v>2064</v>
      </c>
      <c r="P162" s="134" t="s">
        <v>33</v>
      </c>
      <c r="Q162" s="115" t="s">
        <v>337</v>
      </c>
      <c r="R162" s="154">
        <v>35565</v>
      </c>
      <c r="S162" s="154">
        <v>45383</v>
      </c>
      <c r="T162" s="155">
        <v>25545</v>
      </c>
      <c r="U162" s="155">
        <v>42062</v>
      </c>
      <c r="V162" s="116">
        <v>33012</v>
      </c>
      <c r="W162" s="116">
        <v>35565</v>
      </c>
      <c r="X162" s="116"/>
      <c r="Y162" s="116"/>
      <c r="Z162"/>
      <c r="AA162"/>
      <c r="AB162"/>
      <c r="AC162" s="117"/>
      <c r="AD162" s="118" t="s">
        <v>48</v>
      </c>
      <c r="AE162" s="119" t="s">
        <v>36</v>
      </c>
      <c r="AF162" s="135" t="s">
        <v>37</v>
      </c>
      <c r="AH162" s="118">
        <v>1</v>
      </c>
      <c r="AI162" s="118">
        <v>1</v>
      </c>
      <c r="AJ162" s="118"/>
      <c r="AL162" s="118"/>
      <c r="AM162" s="118">
        <v>12</v>
      </c>
      <c r="AN162" s="118">
        <v>30</v>
      </c>
    </row>
    <row r="163" spans="1:40" s="93" customFormat="1" ht="39.950000000000003" customHeight="1" x14ac:dyDescent="0.25">
      <c r="A163" s="110">
        <v>27</v>
      </c>
      <c r="B163" s="110"/>
      <c r="C163" s="140" t="s">
        <v>118</v>
      </c>
      <c r="D163" s="140" t="s">
        <v>2237</v>
      </c>
      <c r="E163" s="150" t="s">
        <v>2238</v>
      </c>
      <c r="F163" s="142" t="str">
        <f>DATEDIF(R163,S163,"y") + DATEDIF(V163,W163,"y") + DATEDIF(X163,Y163,"y") + SUM(AH163) &amp; " años " &amp; DATEDIF(R163,S163,"ym") + DATEDIF(V163,W163,"ym") + DATEDIF(X163,Y163,"ym") + SUM(AI163) - SUM(AM163) &amp; " meses " &amp; DATEDIF(R163,S163,"md") + DATEDIF(V163,W163,"md") + DATEDIF(X163,Y163,"md") - SUM(AN163) &amp; " días"</f>
        <v>21 años 3 meses 12 días</v>
      </c>
      <c r="G163" s="149">
        <v>0.625</v>
      </c>
      <c r="H163" s="110" t="str">
        <f>DATEDIF(T163,S163,"y") &amp; " años " &amp; DATEDIF(T163,S163,"ym") &amp; " meses " &amp; DATEDIF(T163,S163,"md") &amp; " días"</f>
        <v>38 años 5 meses 29 días</v>
      </c>
      <c r="I163" s="110" t="str">
        <f>DATEDIF(U163,S163,"y") &amp; " años " &amp; DATEDIF(U163,S163,"ym") &amp; " meses " &amp; DATEDIF(U163,S163,"md") &amp; " días"</f>
        <v>6 años 2 meses 16 días</v>
      </c>
      <c r="J163" s="195"/>
      <c r="K163" s="196"/>
      <c r="L163" s="197"/>
      <c r="M163" s="151">
        <v>26251.03</v>
      </c>
      <c r="N163" s="115">
        <f>M163*G163</f>
        <v>16406.893749999999</v>
      </c>
      <c r="O163" s="134" t="s">
        <v>2074</v>
      </c>
      <c r="P163" s="134" t="s">
        <v>33</v>
      </c>
      <c r="Q163" s="115" t="s">
        <v>338</v>
      </c>
      <c r="R163" s="145">
        <v>36923</v>
      </c>
      <c r="S163" s="146">
        <v>44694</v>
      </c>
      <c r="T163" s="145">
        <v>30634</v>
      </c>
      <c r="U163" s="145">
        <v>42427</v>
      </c>
      <c r="V163" s="116"/>
      <c r="W163" s="116"/>
      <c r="X163" s="116"/>
      <c r="Y163" s="116"/>
      <c r="Z163" s="52"/>
      <c r="AA163" s="52"/>
      <c r="AB163" s="52"/>
      <c r="AC163" s="117"/>
      <c r="AD163" s="118" t="s">
        <v>134</v>
      </c>
      <c r="AE163" s="119" t="s">
        <v>36</v>
      </c>
      <c r="AF163" s="135" t="s">
        <v>37</v>
      </c>
      <c r="AH163" s="118"/>
      <c r="AI163" s="118"/>
      <c r="AJ163" s="118"/>
      <c r="AL163" s="118"/>
      <c r="AM163" s="118"/>
      <c r="AN163" s="118"/>
    </row>
    <row r="164" spans="1:40" s="93" customFormat="1" ht="39.950000000000003" customHeight="1" x14ac:dyDescent="0.25">
      <c r="A164" s="110">
        <v>28</v>
      </c>
      <c r="B164" s="110"/>
      <c r="C164" s="140" t="s">
        <v>122</v>
      </c>
      <c r="D164" s="140" t="s">
        <v>2239</v>
      </c>
      <c r="E164" s="150" t="s">
        <v>2240</v>
      </c>
      <c r="F164" s="142" t="str">
        <f t="shared" ref="F164:F168" si="52">DATEDIF(R164,S164,"y") + DATEDIF(V164,W164,"y") + DATEDIF(X164,Y164,"y") + SUM(AH164) &amp; " años " &amp; DATEDIF(R164,S164,"ym") + DATEDIF(V164,W164,"ym") + DATEDIF(X164,Y164,"ym") + SUM(AI164) - SUM(AM164) &amp; " meses " &amp; DATEDIF(R164,S164,"md") + DATEDIF(V164,W164,"md") + DATEDIF(X164,Y164,"md") - SUM(AN164) &amp; " días"</f>
        <v>22 años 1 meses 17 días</v>
      </c>
      <c r="G164" s="149">
        <v>0.65</v>
      </c>
      <c r="H164" s="110" t="str">
        <f t="shared" ref="H164:H168" si="53">DATEDIF(T164,S164,"y") &amp; " años " &amp; DATEDIF(T164,S164,"ym") &amp; " meses " &amp; DATEDIF(T164,S164,"md") &amp; " días"</f>
        <v>40 años 2 meses 18 días</v>
      </c>
      <c r="I164" s="110" t="str">
        <f t="shared" ref="I164:I168" si="54">DATEDIF(U164,S164,"y") &amp; " años " &amp; DATEDIF(U164,S164,"ym") &amp; " meses " &amp; DATEDIF(U164,S164,"md") &amp; " días"</f>
        <v>2 años 1 meses 5 días</v>
      </c>
      <c r="J164" s="195"/>
      <c r="K164" s="196"/>
      <c r="L164" s="197"/>
      <c r="M164" s="151">
        <v>31510.28</v>
      </c>
      <c r="N164" s="115">
        <f t="shared" ref="N164:N168" si="55">M164*G164</f>
        <v>20481.682000000001</v>
      </c>
      <c r="O164" s="134"/>
      <c r="P164" s="134" t="s">
        <v>42</v>
      </c>
      <c r="Q164" s="115" t="s">
        <v>336</v>
      </c>
      <c r="R164" s="145">
        <v>37302</v>
      </c>
      <c r="S164" s="146">
        <v>45383</v>
      </c>
      <c r="T164" s="145">
        <v>30695</v>
      </c>
      <c r="U164" s="145">
        <v>44619</v>
      </c>
      <c r="V164" s="116"/>
      <c r="W164" s="116"/>
      <c r="X164" s="116"/>
      <c r="Y164" s="116"/>
      <c r="Z164" s="52"/>
      <c r="AA164" s="52"/>
      <c r="AB164" s="52"/>
      <c r="AC164" s="117"/>
      <c r="AD164" s="118" t="s">
        <v>293</v>
      </c>
      <c r="AE164" s="119" t="s">
        <v>36</v>
      </c>
      <c r="AF164" s="135" t="s">
        <v>37</v>
      </c>
      <c r="AH164" s="118"/>
      <c r="AI164" s="118"/>
      <c r="AJ164" s="118"/>
      <c r="AL164" s="118"/>
      <c r="AM164" s="118"/>
      <c r="AN164" s="118"/>
    </row>
    <row r="165" spans="1:40" s="93" customFormat="1" ht="39.950000000000003" customHeight="1" x14ac:dyDescent="0.25">
      <c r="A165" s="110">
        <v>29</v>
      </c>
      <c r="B165" s="110"/>
      <c r="C165" s="140" t="s">
        <v>122</v>
      </c>
      <c r="D165" s="140" t="s">
        <v>2241</v>
      </c>
      <c r="E165" s="150" t="s">
        <v>2242</v>
      </c>
      <c r="F165" s="142" t="str">
        <f t="shared" si="52"/>
        <v>24 años 10 meses 0 días</v>
      </c>
      <c r="G165" s="149">
        <v>0.72499999999999998</v>
      </c>
      <c r="H165" s="110" t="str">
        <f t="shared" si="53"/>
        <v>43 años 4 meses 14 días</v>
      </c>
      <c r="I165" s="110" t="str">
        <f t="shared" si="54"/>
        <v>8 años 1 meses 5 días</v>
      </c>
      <c r="J165" s="195"/>
      <c r="K165" s="196"/>
      <c r="L165" s="197"/>
      <c r="M165" s="151">
        <f>32541.78+8000</f>
        <v>40541.78</v>
      </c>
      <c r="N165" s="115">
        <f t="shared" si="55"/>
        <v>29392.790499999999</v>
      </c>
      <c r="O165" s="134"/>
      <c r="P165" s="134" t="s">
        <v>42</v>
      </c>
      <c r="Q165" s="115" t="s">
        <v>336</v>
      </c>
      <c r="R165" s="145">
        <v>36312</v>
      </c>
      <c r="S165" s="146">
        <v>45383</v>
      </c>
      <c r="T165" s="145">
        <v>29543</v>
      </c>
      <c r="U165" s="145">
        <v>42427</v>
      </c>
      <c r="V165" s="116"/>
      <c r="W165" s="116"/>
      <c r="X165" s="116"/>
      <c r="Y165" s="116"/>
      <c r="Z165" s="162" t="s">
        <v>2186</v>
      </c>
      <c r="AA165" s="52"/>
      <c r="AB165" s="52"/>
      <c r="AC165" s="117"/>
      <c r="AD165" s="118" t="s">
        <v>190</v>
      </c>
      <c r="AE165" s="119" t="s">
        <v>36</v>
      </c>
      <c r="AF165" s="135" t="s">
        <v>37</v>
      </c>
      <c r="AH165" s="118"/>
      <c r="AI165" s="118"/>
      <c r="AJ165" s="118"/>
      <c r="AL165" s="118"/>
      <c r="AM165" s="118"/>
      <c r="AN165" s="118"/>
    </row>
    <row r="166" spans="1:40" s="93" customFormat="1" ht="39.950000000000003" customHeight="1" x14ac:dyDescent="0.25">
      <c r="A166" s="110">
        <v>30</v>
      </c>
      <c r="B166" s="110"/>
      <c r="C166" s="140" t="s">
        <v>122</v>
      </c>
      <c r="D166" s="140" t="s">
        <v>2243</v>
      </c>
      <c r="E166" s="150" t="s">
        <v>2244</v>
      </c>
      <c r="F166" s="142" t="str">
        <f t="shared" si="52"/>
        <v>25 años 0 meses 0 días</v>
      </c>
      <c r="G166" s="149">
        <v>0.72499999999999998</v>
      </c>
      <c r="H166" s="110" t="str">
        <f t="shared" si="53"/>
        <v>44 años 4 meses 7 días</v>
      </c>
      <c r="I166" s="110" t="str">
        <f t="shared" si="54"/>
        <v>9 años 1 meses 5 días</v>
      </c>
      <c r="J166" s="195"/>
      <c r="K166" s="196"/>
      <c r="L166" s="197"/>
      <c r="M166" s="151">
        <f>32541.78+8000</f>
        <v>40541.78</v>
      </c>
      <c r="N166" s="115">
        <f t="shared" si="55"/>
        <v>29392.790499999999</v>
      </c>
      <c r="O166" s="134"/>
      <c r="P166" s="134" t="s">
        <v>42</v>
      </c>
      <c r="Q166" s="115" t="s">
        <v>336</v>
      </c>
      <c r="R166" s="145">
        <v>36251</v>
      </c>
      <c r="S166" s="146">
        <v>45383</v>
      </c>
      <c r="T166" s="145">
        <v>29184</v>
      </c>
      <c r="U166" s="145">
        <v>42062</v>
      </c>
      <c r="V166" s="116"/>
      <c r="W166" s="116"/>
      <c r="X166" s="116"/>
      <c r="Y166" s="116"/>
      <c r="Z166" s="52" t="s">
        <v>1973</v>
      </c>
      <c r="AA166" s="52"/>
      <c r="AB166" s="52"/>
      <c r="AC166" s="117"/>
      <c r="AD166" s="118" t="s">
        <v>190</v>
      </c>
      <c r="AE166" s="119" t="s">
        <v>36</v>
      </c>
      <c r="AF166" s="135" t="s">
        <v>37</v>
      </c>
      <c r="AH166" s="118"/>
      <c r="AI166" s="118"/>
      <c r="AJ166" s="118"/>
      <c r="AL166" s="118"/>
      <c r="AM166" s="118"/>
      <c r="AN166" s="118"/>
    </row>
    <row r="167" spans="1:40" s="93" customFormat="1" ht="39.950000000000003" customHeight="1" x14ac:dyDescent="0.25">
      <c r="A167" s="110">
        <v>31</v>
      </c>
      <c r="B167" s="110"/>
      <c r="C167" s="140" t="s">
        <v>122</v>
      </c>
      <c r="D167" s="140" t="s">
        <v>2245</v>
      </c>
      <c r="E167" s="150" t="s">
        <v>2246</v>
      </c>
      <c r="F167" s="142" t="str">
        <f t="shared" si="52"/>
        <v>25 años 5 meses 0 días</v>
      </c>
      <c r="G167" s="149">
        <v>0.72499999999999998</v>
      </c>
      <c r="H167" s="110" t="str">
        <f t="shared" si="53"/>
        <v>42 años 1 meses 20 días</v>
      </c>
      <c r="I167" s="110" t="str">
        <f t="shared" si="54"/>
        <v>5 años 1 meses 5 días</v>
      </c>
      <c r="J167" s="195"/>
      <c r="K167" s="196"/>
      <c r="L167" s="197"/>
      <c r="M167" s="151">
        <v>32541.78</v>
      </c>
      <c r="N167" s="115">
        <f t="shared" si="55"/>
        <v>23592.790499999999</v>
      </c>
      <c r="O167" s="134"/>
      <c r="P167" s="134" t="s">
        <v>42</v>
      </c>
      <c r="Q167" s="115" t="s">
        <v>336</v>
      </c>
      <c r="R167" s="145">
        <v>36100</v>
      </c>
      <c r="S167" s="146">
        <v>45383</v>
      </c>
      <c r="T167" s="145">
        <v>29994</v>
      </c>
      <c r="U167" s="145">
        <v>43523</v>
      </c>
      <c r="V167" s="116"/>
      <c r="W167" s="116"/>
      <c r="X167" s="116"/>
      <c r="Y167" s="116"/>
      <c r="Z167" s="52"/>
      <c r="AA167" s="52"/>
      <c r="AB167" s="52"/>
      <c r="AC167" s="117"/>
      <c r="AD167" s="118" t="s">
        <v>190</v>
      </c>
      <c r="AE167" s="119" t="s">
        <v>36</v>
      </c>
      <c r="AF167" s="135" t="s">
        <v>37</v>
      </c>
      <c r="AH167" s="118"/>
      <c r="AI167" s="118"/>
      <c r="AJ167" s="118"/>
      <c r="AL167" s="118"/>
      <c r="AM167" s="118"/>
      <c r="AN167" s="118"/>
    </row>
    <row r="168" spans="1:40" s="93" customFormat="1" ht="39.950000000000003" customHeight="1" x14ac:dyDescent="0.25">
      <c r="A168" s="110">
        <v>32</v>
      </c>
      <c r="B168" s="110"/>
      <c r="C168" s="140" t="s">
        <v>122</v>
      </c>
      <c r="D168" s="140" t="s">
        <v>2247</v>
      </c>
      <c r="E168" s="150" t="s">
        <v>2248</v>
      </c>
      <c r="F168" s="142" t="str">
        <f t="shared" si="52"/>
        <v>23 años 5 meses 0 días</v>
      </c>
      <c r="G168" s="149">
        <v>0.67500000000000004</v>
      </c>
      <c r="H168" s="110" t="str">
        <f t="shared" si="53"/>
        <v>43 años 8 meses 8 días</v>
      </c>
      <c r="I168" s="110" t="str">
        <f t="shared" si="54"/>
        <v>9 años 1 meses 5 días</v>
      </c>
      <c r="J168" s="195"/>
      <c r="K168" s="196"/>
      <c r="L168" s="197"/>
      <c r="M168" s="151">
        <v>32541.78</v>
      </c>
      <c r="N168" s="115">
        <f t="shared" si="55"/>
        <v>21965.701499999999</v>
      </c>
      <c r="O168" s="134"/>
      <c r="P168" s="134" t="s">
        <v>42</v>
      </c>
      <c r="Q168" s="115" t="s">
        <v>336</v>
      </c>
      <c r="R168" s="145">
        <v>36831</v>
      </c>
      <c r="S168" s="146">
        <v>45383</v>
      </c>
      <c r="T168" s="145">
        <v>29426</v>
      </c>
      <c r="U168" s="145">
        <v>42062</v>
      </c>
      <c r="V168" s="116"/>
      <c r="W168" s="116"/>
      <c r="X168" s="116"/>
      <c r="Y168" s="116"/>
      <c r="Z168" s="52"/>
      <c r="AA168" s="52"/>
      <c r="AB168" s="52"/>
      <c r="AC168" s="117"/>
      <c r="AD168" s="163" t="s">
        <v>293</v>
      </c>
      <c r="AE168" s="119" t="s">
        <v>36</v>
      </c>
      <c r="AF168" s="135" t="s">
        <v>37</v>
      </c>
      <c r="AH168" s="118"/>
      <c r="AI168" s="118"/>
      <c r="AJ168" s="118"/>
      <c r="AL168" s="118"/>
      <c r="AM168" s="118"/>
      <c r="AN168" s="118"/>
    </row>
    <row r="169" spans="1:40" s="93" customFormat="1" ht="39.950000000000003" customHeight="1" x14ac:dyDescent="0.25">
      <c r="A169" s="110">
        <v>33</v>
      </c>
      <c r="B169" s="110"/>
      <c r="C169" s="148" t="s">
        <v>122</v>
      </c>
      <c r="D169" s="152" t="s">
        <v>2249</v>
      </c>
      <c r="E169" s="153" t="s">
        <v>2250</v>
      </c>
      <c r="F169" s="142" t="str">
        <f>DATEDIF(R169,S169,"y") + DATEDIF(V169,W169,"y") + DATEDIF(X169,Y169,"y") + SUM(AH169) &amp; " años " &amp; DATEDIF(R169,S169,"ym") + DATEDIF(V169,W169,"ym") + DATEDIF(X169,Y169,"ym") + SUM(AI169) - SUM(AM169) &amp; " meses " &amp; DATEDIF(R169,S169,"md") + DATEDIF(V169,W169,"md") + DATEDIF(X169,Y169,"md") - SUM(AN169) &amp; " días"</f>
        <v>24 años 5 meses 0 días</v>
      </c>
      <c r="G169" s="149">
        <v>1</v>
      </c>
      <c r="H169" s="110" t="str">
        <f>DATEDIF(T169,S169,"y") &amp; " años " &amp; DATEDIF(T169,S169,"ym") &amp; " meses " &amp; DATEDIF(T169,S169,"md") &amp; " días"</f>
        <v>63 años 5 meses 15 días</v>
      </c>
      <c r="I169" s="110" t="str">
        <f>DATEDIF(U169,S169,"y") &amp; " años " &amp; DATEDIF(U169,S169,"ym") &amp; " meses " &amp; DATEDIF(U169,S169,"md") &amp; " días"</f>
        <v>9 años 1 meses 5 días</v>
      </c>
      <c r="J169" s="195"/>
      <c r="K169" s="196"/>
      <c r="L169" s="197"/>
      <c r="M169" s="115">
        <v>32541.78</v>
      </c>
      <c r="N169" s="115">
        <f>M169*G169</f>
        <v>32541.78</v>
      </c>
      <c r="O169" s="134" t="s">
        <v>2064</v>
      </c>
      <c r="P169" s="134" t="s">
        <v>2251</v>
      </c>
      <c r="Q169" s="115" t="s">
        <v>337</v>
      </c>
      <c r="R169" s="154">
        <v>36465</v>
      </c>
      <c r="S169" s="154">
        <v>45383</v>
      </c>
      <c r="T169" s="155">
        <v>22206</v>
      </c>
      <c r="U169" s="155">
        <v>42062</v>
      </c>
      <c r="V169" s="116"/>
      <c r="W169" s="116"/>
      <c r="X169" s="116"/>
      <c r="Y169" s="116"/>
      <c r="Z169"/>
      <c r="AA169"/>
      <c r="AB169"/>
      <c r="AC169" s="117"/>
      <c r="AD169" s="118" t="s">
        <v>2252</v>
      </c>
      <c r="AE169" s="119" t="s">
        <v>36</v>
      </c>
      <c r="AF169" s="135" t="s">
        <v>37</v>
      </c>
      <c r="AH169" s="118"/>
      <c r="AI169" s="118"/>
      <c r="AJ169" s="118"/>
      <c r="AL169" s="118"/>
      <c r="AM169" s="118"/>
      <c r="AN169" s="118"/>
    </row>
    <row r="170" spans="1:40" s="93" customFormat="1" ht="39.950000000000003" customHeight="1" x14ac:dyDescent="0.25">
      <c r="A170" s="110">
        <v>34</v>
      </c>
      <c r="B170" s="110"/>
      <c r="C170" s="140" t="s">
        <v>145</v>
      </c>
      <c r="D170" s="140" t="s">
        <v>2253</v>
      </c>
      <c r="E170" s="150" t="s">
        <v>2254</v>
      </c>
      <c r="F170" s="142" t="str">
        <f t="shared" ref="F170:F172" si="56">DATEDIF(R170,S170,"y") + DATEDIF(V170,W170,"y") + DATEDIF(X170,Y170,"y") + SUM(AH170) &amp; " años " &amp; DATEDIF(R170,S170,"ym") + DATEDIF(V170,W170,"ym") + DATEDIF(X170,Y170,"ym") + SUM(AI170) - SUM(AM170) &amp; " meses " &amp; DATEDIF(R170,S170,"md") + DATEDIF(V170,W170,"md") + DATEDIF(X170,Y170,"md") - SUM(AN170) &amp; " días"</f>
        <v>24 años 8 meses 17 días</v>
      </c>
      <c r="G170" s="149">
        <v>0.72499999999999998</v>
      </c>
      <c r="H170" s="110" t="str">
        <f t="shared" ref="H170:H172" si="57">DATEDIF(T170,S170,"y") &amp; " años " &amp; DATEDIF(T170,S170,"ym") &amp; " meses " &amp; DATEDIF(T170,S170,"md") &amp; " días"</f>
        <v>44 años 3 meses 22 días</v>
      </c>
      <c r="I170" s="110" t="str">
        <f t="shared" ref="I170:I172" si="58">DATEDIF(U170,S170,"y") &amp; " años " &amp; DATEDIF(U170,S170,"ym") &amp; " meses " &amp; DATEDIF(U170,S170,"md") &amp; " días"</f>
        <v>10 años 1 meses 0 días</v>
      </c>
      <c r="J170" s="195"/>
      <c r="K170" s="196"/>
      <c r="L170" s="197"/>
      <c r="M170" s="151">
        <v>31510.28</v>
      </c>
      <c r="N170" s="115">
        <f t="shared" ref="N170:N172" si="59">M170*G170</f>
        <v>22844.952999999998</v>
      </c>
      <c r="O170" s="134"/>
      <c r="P170" s="134" t="s">
        <v>42</v>
      </c>
      <c r="Q170" s="115" t="s">
        <v>336</v>
      </c>
      <c r="R170" s="145">
        <v>36356</v>
      </c>
      <c r="S170" s="146">
        <v>45383</v>
      </c>
      <c r="T170" s="145">
        <v>29199</v>
      </c>
      <c r="U170" s="145">
        <v>41699</v>
      </c>
      <c r="V170" s="116"/>
      <c r="W170" s="116"/>
      <c r="X170" s="116"/>
      <c r="Y170" s="116"/>
      <c r="Z170" s="52"/>
      <c r="AA170" s="52"/>
      <c r="AB170" s="52"/>
      <c r="AC170" s="117"/>
      <c r="AD170" s="118" t="s">
        <v>35</v>
      </c>
      <c r="AE170" s="119" t="s">
        <v>36</v>
      </c>
      <c r="AF170" s="135" t="s">
        <v>37</v>
      </c>
      <c r="AH170" s="118"/>
      <c r="AI170" s="118"/>
      <c r="AJ170" s="118"/>
      <c r="AL170" s="118"/>
      <c r="AM170" s="118"/>
      <c r="AN170" s="118"/>
    </row>
    <row r="171" spans="1:40" s="93" customFormat="1" ht="39.950000000000003" customHeight="1" x14ac:dyDescent="0.25">
      <c r="A171" s="110">
        <v>35</v>
      </c>
      <c r="B171" s="110"/>
      <c r="C171" s="140" t="s">
        <v>145</v>
      </c>
      <c r="D171" s="140" t="s">
        <v>2255</v>
      </c>
      <c r="E171" s="150" t="s">
        <v>2256</v>
      </c>
      <c r="F171" s="142" t="str">
        <f>DATEDIF(R171,S171,"y") + DATEDIF(V171,W171,"y") + DATEDIF(X171,Y171,"y") + SUM(AH171) &amp; " años " &amp; DATEDIF(R171,S171,"ym") + DATEDIF(V171,W171,"ym") + DATEDIF(X171,Y171,"ym") + SUM(AI171) - SUM(AM171) &amp; " meses " &amp; DATEDIF(R171,S171,"md") + DATEDIF(V171,W171,"md") + DATEDIF(X171,Y171,"md") - SUM(AN171) &amp; " días"</f>
        <v>23 años 4 meses 29 días</v>
      </c>
      <c r="G171" s="149">
        <v>0.67500000000000004</v>
      </c>
      <c r="H171" s="110" t="str">
        <f>DATEDIF(T171,S171,"y") &amp; " años " &amp; DATEDIF(T171,S171,"ym") &amp; " meses " &amp; DATEDIF(T171,S171,"md") &amp; " días"</f>
        <v>51 años 2 meses 30 días</v>
      </c>
      <c r="I171" s="110" t="str">
        <f>DATEDIF(U171,S171,"y") &amp; " años " &amp; DATEDIF(U171,S171,"ym") &amp; " meses " &amp; DATEDIF(U171,S171,"md") &amp; " días"</f>
        <v>9 años 1 meses 5 días</v>
      </c>
      <c r="J171" s="195"/>
      <c r="K171" s="196"/>
      <c r="L171" s="197"/>
      <c r="M171" s="151">
        <v>31510.27</v>
      </c>
      <c r="N171" s="115">
        <f>M171*G171</f>
        <v>21269.432250000002</v>
      </c>
      <c r="O171" s="134"/>
      <c r="P171" s="134" t="s">
        <v>42</v>
      </c>
      <c r="Q171" s="115" t="s">
        <v>336</v>
      </c>
      <c r="R171" s="145">
        <v>39387</v>
      </c>
      <c r="S171" s="146">
        <v>45383</v>
      </c>
      <c r="T171" s="145">
        <v>26666</v>
      </c>
      <c r="U171" s="145">
        <v>42062</v>
      </c>
      <c r="V171" s="116">
        <v>36342</v>
      </c>
      <c r="W171" s="116">
        <v>38898</v>
      </c>
      <c r="X171" s="116"/>
      <c r="Y171" s="116"/>
      <c r="Z171" s="52"/>
      <c r="AA171" s="52"/>
      <c r="AB171" s="52"/>
      <c r="AC171" s="117"/>
      <c r="AD171" s="118" t="s">
        <v>35</v>
      </c>
      <c r="AE171" s="119" t="s">
        <v>36</v>
      </c>
      <c r="AF171" s="135" t="s">
        <v>37</v>
      </c>
      <c r="AH171" s="118">
        <v>1</v>
      </c>
      <c r="AI171" s="118"/>
      <c r="AJ171" s="118"/>
      <c r="AL171" s="118"/>
      <c r="AM171" s="118">
        <v>12</v>
      </c>
      <c r="AN171" s="118"/>
    </row>
    <row r="172" spans="1:40" s="93" customFormat="1" ht="39.950000000000003" customHeight="1" x14ac:dyDescent="0.25">
      <c r="A172" s="110">
        <v>36</v>
      </c>
      <c r="B172" s="110"/>
      <c r="C172" s="140" t="s">
        <v>145</v>
      </c>
      <c r="D172" s="140" t="s">
        <v>2257</v>
      </c>
      <c r="E172" s="150" t="s">
        <v>2258</v>
      </c>
      <c r="F172" s="142" t="str">
        <f t="shared" si="56"/>
        <v>25 años 4 meses 0 días</v>
      </c>
      <c r="G172" s="149">
        <v>0.72499999999999998</v>
      </c>
      <c r="H172" s="110" t="str">
        <f t="shared" si="57"/>
        <v>60 años 0 meses 22 días</v>
      </c>
      <c r="I172" s="110" t="str">
        <f t="shared" si="58"/>
        <v>10 años 6 meses 25 días</v>
      </c>
      <c r="J172" s="195" t="s">
        <v>13</v>
      </c>
      <c r="K172" s="196"/>
      <c r="L172" s="197"/>
      <c r="M172" s="151">
        <v>31510.28</v>
      </c>
      <c r="N172" s="115">
        <f t="shared" si="59"/>
        <v>22844.952999999998</v>
      </c>
      <c r="O172" s="134"/>
      <c r="P172" s="134" t="s">
        <v>42</v>
      </c>
      <c r="Q172" s="115" t="s">
        <v>336</v>
      </c>
      <c r="R172" s="145">
        <v>39965</v>
      </c>
      <c r="S172" s="146">
        <v>45383</v>
      </c>
      <c r="T172" s="145">
        <v>23446</v>
      </c>
      <c r="U172" s="145">
        <v>41524</v>
      </c>
      <c r="V172" s="116">
        <v>36130</v>
      </c>
      <c r="W172" s="116">
        <v>36951</v>
      </c>
      <c r="X172" s="116">
        <v>36951</v>
      </c>
      <c r="Y172" s="116">
        <v>39964</v>
      </c>
      <c r="Z172" s="52"/>
      <c r="AA172" s="52"/>
      <c r="AB172" s="52"/>
      <c r="AC172" s="117"/>
      <c r="AD172" s="118" t="s">
        <v>35</v>
      </c>
      <c r="AE172" s="119" t="s">
        <v>36</v>
      </c>
      <c r="AF172" s="135" t="s">
        <v>37</v>
      </c>
      <c r="AH172" s="118">
        <v>1</v>
      </c>
      <c r="AI172" s="118">
        <v>1</v>
      </c>
      <c r="AJ172" s="118"/>
      <c r="AL172" s="118"/>
      <c r="AM172" s="118">
        <v>12</v>
      </c>
      <c r="AN172" s="118">
        <v>30</v>
      </c>
    </row>
    <row r="173" spans="1:40" s="93" customFormat="1" ht="39.950000000000003" customHeight="1" x14ac:dyDescent="0.25">
      <c r="A173" s="110">
        <v>37</v>
      </c>
      <c r="B173" s="110"/>
      <c r="C173" s="148" t="s">
        <v>1314</v>
      </c>
      <c r="D173" s="152" t="s">
        <v>2259</v>
      </c>
      <c r="E173" s="153" t="s">
        <v>2260</v>
      </c>
      <c r="F173" s="142" t="str">
        <f>DATEDIF(R173,S173,"y") + DATEDIF(V173,W173,"y") + DATEDIF(X173,Y173,"y") + SUM(AH173) &amp; " años " &amp; DATEDIF(R173,S173,"ym") + DATEDIF(V173,W173,"ym") + DATEDIF(X173,Y173,"ym") + SUM(AI173) - SUM(AM173) &amp; " meses " &amp; DATEDIF(R173,S173,"md") + DATEDIF(V173,W173,"md") + DATEDIF(X173,Y173,"md") - SUM(AN173) &amp; " días"</f>
        <v>15 años 0 meses 0 días</v>
      </c>
      <c r="G173" s="149">
        <v>0.92500000000000004</v>
      </c>
      <c r="H173" s="110" t="str">
        <f>DATEDIF(T173,S173,"y") &amp; " años " &amp; DATEDIF(T173,S173,"ym") &amp; " meses " &amp; DATEDIF(T173,S173,"md") &amp; " días"</f>
        <v>33 años 11 meses 7 días</v>
      </c>
      <c r="I173" s="110" t="str">
        <f>DATEDIF(U173,S173,"y") &amp; " años " &amp; DATEDIF(U173,S173,"ym") &amp; " meses " &amp; DATEDIF(U173,S173,"md") &amp; " días"</f>
        <v>7 años 1 meses 0 días</v>
      </c>
      <c r="J173" s="195"/>
      <c r="K173" s="196"/>
      <c r="L173" s="197"/>
      <c r="M173" s="115">
        <v>30394.93</v>
      </c>
      <c r="N173" s="115">
        <f>M173*G173</f>
        <v>28115.310250000002</v>
      </c>
      <c r="O173" s="134" t="s">
        <v>2064</v>
      </c>
      <c r="P173" s="134" t="s">
        <v>2251</v>
      </c>
      <c r="Q173" s="115" t="s">
        <v>337</v>
      </c>
      <c r="R173" s="154">
        <v>39904</v>
      </c>
      <c r="S173" s="154">
        <v>45383</v>
      </c>
      <c r="T173" s="155">
        <v>32988</v>
      </c>
      <c r="U173" s="155">
        <v>42795</v>
      </c>
      <c r="V173" s="116"/>
      <c r="W173" s="116"/>
      <c r="X173" s="116"/>
      <c r="Y173" s="116"/>
      <c r="Z173"/>
      <c r="AA173"/>
      <c r="AB173"/>
      <c r="AC173" s="117"/>
      <c r="AD173" s="118" t="s">
        <v>35</v>
      </c>
      <c r="AE173" s="119" t="s">
        <v>36</v>
      </c>
      <c r="AF173" s="135" t="s">
        <v>37</v>
      </c>
      <c r="AH173" s="118"/>
      <c r="AI173" s="118"/>
      <c r="AJ173" s="118"/>
      <c r="AL173" s="118"/>
      <c r="AM173" s="118"/>
      <c r="AN173" s="118"/>
    </row>
    <row r="174" spans="1:40" s="93" customFormat="1" ht="39.950000000000003" customHeight="1" x14ac:dyDescent="0.25">
      <c r="A174" s="110">
        <v>38</v>
      </c>
      <c r="B174" s="110"/>
      <c r="C174" s="140" t="s">
        <v>300</v>
      </c>
      <c r="D174" s="140" t="s">
        <v>2261</v>
      </c>
      <c r="E174" s="150" t="s">
        <v>2262</v>
      </c>
      <c r="F174" s="142" t="str">
        <f t="shared" ref="F174:F175" si="60">DATEDIF(R174,S174,"y") + DATEDIF(V174,W174,"y") + DATEDIF(X174,Y174,"y") + SUM(AH174) &amp; " años " &amp; DATEDIF(R174,S174,"ym") + DATEDIF(V174,W174,"ym") + DATEDIF(X174,Y174,"ym") + SUM(AI174) - SUM(AM174) &amp; " meses " &amp; DATEDIF(R174,S174,"md") + DATEDIF(V174,W174,"md") + DATEDIF(X174,Y174,"md") - SUM(AN174) &amp; " días"</f>
        <v>20 años 10 meses 0 días</v>
      </c>
      <c r="G174" s="149">
        <v>0.625</v>
      </c>
      <c r="H174" s="110" t="str">
        <f t="shared" ref="H174:H176" si="61">DATEDIF(T174,S174,"y") &amp; " años " &amp; DATEDIF(T174,S174,"ym") &amp; " meses " &amp; DATEDIF(T174,S174,"md") &amp; " días"</f>
        <v>63 años 3 meses 1 días</v>
      </c>
      <c r="I174" s="110"/>
      <c r="J174" s="195"/>
      <c r="K174" s="196"/>
      <c r="L174" s="197"/>
      <c r="M174" s="151">
        <f>13500+ 4400</f>
        <v>17900</v>
      </c>
      <c r="N174" s="115">
        <f t="shared" ref="N174:N176" si="62">M174*G174</f>
        <v>11187.5</v>
      </c>
      <c r="O174" s="134"/>
      <c r="P174" s="134" t="s">
        <v>298</v>
      </c>
      <c r="Q174" s="115" t="s">
        <v>336</v>
      </c>
      <c r="R174" s="145">
        <v>38777</v>
      </c>
      <c r="S174" s="146">
        <v>45383</v>
      </c>
      <c r="T174" s="145">
        <v>22281</v>
      </c>
      <c r="U174" s="145"/>
      <c r="V174" s="116">
        <v>37773</v>
      </c>
      <c r="W174" s="116">
        <v>38777</v>
      </c>
      <c r="X174" s="116"/>
      <c r="Y174" s="116"/>
      <c r="Z174" s="52" t="s">
        <v>1973</v>
      </c>
      <c r="AA174" s="52"/>
      <c r="AB174" s="52"/>
      <c r="AC174" s="117"/>
      <c r="AD174" s="118" t="s">
        <v>268</v>
      </c>
      <c r="AE174" s="119" t="s">
        <v>36</v>
      </c>
      <c r="AF174" s="135" t="s">
        <v>37</v>
      </c>
      <c r="AH174" s="118"/>
      <c r="AI174" s="118"/>
      <c r="AJ174" s="118"/>
      <c r="AL174" s="118"/>
      <c r="AM174" s="118"/>
      <c r="AN174" s="118"/>
    </row>
    <row r="175" spans="1:40" s="93" customFormat="1" ht="39.950000000000003" customHeight="1" x14ac:dyDescent="0.25">
      <c r="A175" s="110">
        <v>39</v>
      </c>
      <c r="B175" s="110"/>
      <c r="C175" s="148" t="s">
        <v>300</v>
      </c>
      <c r="D175" s="152" t="s">
        <v>2263</v>
      </c>
      <c r="E175" s="153" t="s">
        <v>2264</v>
      </c>
      <c r="F175" s="142" t="str">
        <f t="shared" si="60"/>
        <v>23 años 5 meses 0 días</v>
      </c>
      <c r="G175" s="143">
        <v>0.67500000000000004</v>
      </c>
      <c r="H175" s="110" t="str">
        <f t="shared" si="61"/>
        <v>60 años 10 meses 9 días</v>
      </c>
      <c r="I175" s="110"/>
      <c r="J175" s="195"/>
      <c r="K175" s="196"/>
      <c r="L175" s="197"/>
      <c r="M175" s="144">
        <v>12500</v>
      </c>
      <c r="N175" s="115">
        <v>10000</v>
      </c>
      <c r="O175" s="134"/>
      <c r="P175" s="134" t="s">
        <v>298</v>
      </c>
      <c r="Q175" s="115" t="s">
        <v>336</v>
      </c>
      <c r="R175" s="154">
        <v>36831</v>
      </c>
      <c r="S175" s="154">
        <v>45383</v>
      </c>
      <c r="T175" s="155">
        <v>23154</v>
      </c>
      <c r="U175" s="145"/>
      <c r="V175" s="116"/>
      <c r="W175" s="116"/>
      <c r="X175" s="116"/>
      <c r="Y175" s="116"/>
      <c r="Z175" s="52"/>
      <c r="AA175" s="52"/>
      <c r="AB175" s="52"/>
      <c r="AC175" s="117"/>
      <c r="AD175" s="118" t="s">
        <v>129</v>
      </c>
      <c r="AE175" s="119" t="s">
        <v>36</v>
      </c>
      <c r="AF175" s="135" t="s">
        <v>37</v>
      </c>
      <c r="AH175" s="118"/>
      <c r="AI175" s="118"/>
      <c r="AJ175" s="118"/>
      <c r="AL175" s="118"/>
      <c r="AM175" s="118"/>
      <c r="AN175" s="118"/>
    </row>
    <row r="176" spans="1:40" s="93" customFormat="1" ht="39.950000000000003" customHeight="1" x14ac:dyDescent="0.25">
      <c r="A176" s="110">
        <v>40</v>
      </c>
      <c r="B176" s="110"/>
      <c r="C176" s="140" t="s">
        <v>300</v>
      </c>
      <c r="D176" s="140" t="s">
        <v>2265</v>
      </c>
      <c r="E176" s="150" t="s">
        <v>2266</v>
      </c>
      <c r="F176" s="142" t="str">
        <f t="shared" ref="F176" si="63">DATEDIF(R176,S176,"y") + DATEDIF(V176,W176,"y") + DATEDIF(X176,Y176,"y") + SUM(AH176) &amp; " años " &amp; DATEDIF(R176,S176,"ym") + DATEDIF(V176,W176,"ym") + DATEDIF(X176,Y176,"ym") + SUM(AI176) - SUM(AM176) &amp; " meses " &amp; DATEDIF(R176,S176,"md") + DATEDIF(V176,W176,"md") + DATEDIF(X176,Y176,"md") - SUM(AN176) &amp; " días"</f>
        <v>26 años 4 meses 0 días</v>
      </c>
      <c r="G176" s="149">
        <v>0.75</v>
      </c>
      <c r="H176" s="110" t="str">
        <f t="shared" si="61"/>
        <v>66 años 3 meses 0 días</v>
      </c>
      <c r="I176" s="110"/>
      <c r="J176" s="195"/>
      <c r="K176" s="196"/>
      <c r="L176" s="197"/>
      <c r="M176" s="151">
        <v>15600</v>
      </c>
      <c r="N176" s="115">
        <f t="shared" si="62"/>
        <v>11700</v>
      </c>
      <c r="O176" s="134"/>
      <c r="P176" s="134" t="s">
        <v>298</v>
      </c>
      <c r="Q176" s="115" t="s">
        <v>336</v>
      </c>
      <c r="R176" s="145">
        <v>36951</v>
      </c>
      <c r="S176" s="146">
        <v>45383</v>
      </c>
      <c r="T176" s="145">
        <v>21186</v>
      </c>
      <c r="U176" s="145"/>
      <c r="V176" s="116">
        <v>35765</v>
      </c>
      <c r="W176" s="116">
        <v>36951</v>
      </c>
      <c r="X176" s="116"/>
      <c r="Y176" s="116"/>
      <c r="Z176" s="52"/>
      <c r="AA176" s="52"/>
      <c r="AB176" s="52"/>
      <c r="AC176" s="117"/>
      <c r="AD176" s="118" t="s">
        <v>268</v>
      </c>
      <c r="AE176" s="119" t="s">
        <v>36</v>
      </c>
      <c r="AF176" s="135" t="s">
        <v>37</v>
      </c>
      <c r="AH176" s="118"/>
      <c r="AI176" s="118"/>
      <c r="AJ176" s="118"/>
      <c r="AL176" s="118"/>
      <c r="AM176" s="118"/>
      <c r="AN176" s="118"/>
    </row>
    <row r="177" spans="1:40" s="93" customFormat="1" ht="39.950000000000003" customHeight="1" x14ac:dyDescent="0.25">
      <c r="A177" s="110">
        <v>41</v>
      </c>
      <c r="B177" s="110"/>
      <c r="C177" s="148" t="s">
        <v>300</v>
      </c>
      <c r="D177" s="152" t="s">
        <v>2267</v>
      </c>
      <c r="E177" s="153" t="s">
        <v>2268</v>
      </c>
      <c r="F177" s="142" t="str">
        <f>DATEDIF(R177,S177,"y") + DATEDIF(V177,W177,"y") + DATEDIF(X177,Y177,"y") + SUM(AH177) &amp; " años " &amp; DATEDIF(R177,S177,"ym") + DATEDIF(V177,W177,"ym") + DATEDIF(X177,Y177,"ym") + SUM(AI177) - SUM(AM177) &amp; " meses " &amp; DATEDIF(R177,S177,"md") + DATEDIF(V177,W177,"md") + DATEDIF(X177,Y177,"md") - SUM(AN177) &amp; " días"</f>
        <v>19 años 0 meses 0 días</v>
      </c>
      <c r="G177" s="149">
        <v>1</v>
      </c>
      <c r="H177" s="110" t="str">
        <f>DATEDIF(T177,S177,"y") &amp; " años " &amp; DATEDIF(T177,S177,"ym") &amp; " meses " &amp; DATEDIF(T177,S177,"md") &amp; " días"</f>
        <v>80 años 6 meses 0 días</v>
      </c>
      <c r="I177" s="110"/>
      <c r="J177" s="195"/>
      <c r="K177" s="196"/>
      <c r="L177" s="197"/>
      <c r="M177" s="115">
        <v>30000</v>
      </c>
      <c r="N177" s="115">
        <f>M177*G177</f>
        <v>30000</v>
      </c>
      <c r="O177" s="134" t="s">
        <v>2064</v>
      </c>
      <c r="P177" s="134" t="s">
        <v>2251</v>
      </c>
      <c r="Q177" s="115" t="s">
        <v>337</v>
      </c>
      <c r="R177" s="154">
        <v>38443</v>
      </c>
      <c r="S177" s="154">
        <v>45383</v>
      </c>
      <c r="T177" s="155">
        <v>15980</v>
      </c>
      <c r="U177" s="155"/>
      <c r="V177" s="116"/>
      <c r="W177" s="116"/>
      <c r="X177" s="116"/>
      <c r="Y177" s="116"/>
      <c r="Z177"/>
      <c r="AA177"/>
      <c r="AB177"/>
      <c r="AC177" s="117"/>
      <c r="AD177" s="118" t="s">
        <v>35</v>
      </c>
      <c r="AE177" s="119" t="s">
        <v>36</v>
      </c>
      <c r="AF177" s="135" t="s">
        <v>37</v>
      </c>
      <c r="AH177" s="118"/>
      <c r="AI177" s="118"/>
      <c r="AJ177" s="118"/>
      <c r="AL177" s="118"/>
      <c r="AM177" s="118"/>
      <c r="AN177" s="118"/>
    </row>
    <row r="178" spans="1:40" s="93" customFormat="1" ht="39.950000000000003" customHeight="1" x14ac:dyDescent="0.25">
      <c r="A178" s="110">
        <v>42</v>
      </c>
      <c r="B178" s="110"/>
      <c r="C178" s="148" t="s">
        <v>300</v>
      </c>
      <c r="D178" s="152" t="s">
        <v>2269</v>
      </c>
      <c r="E178" s="153" t="s">
        <v>2270</v>
      </c>
      <c r="F178" s="142" t="str">
        <f t="shared" ref="F178" si="64">DATEDIF(R178,S178,"y") + DATEDIF(V178,W178,"y") + DATEDIF(X178,Y178,"y") + SUM(AH178) &amp; " años " &amp; DATEDIF(R178,S178,"ym") + DATEDIF(V178,W178,"ym") + DATEDIF(X178,Y178,"ym") + SUM(AI178) - SUM(AM178) &amp; " meses " &amp; DATEDIF(R178,S178,"md") + DATEDIF(V178,W178,"md") + DATEDIF(X178,Y178,"md") - SUM(AN178) &amp; " días"</f>
        <v>14 años 7 meses 16 días</v>
      </c>
      <c r="G178" s="143">
        <v>0.92500000000000004</v>
      </c>
      <c r="H178" s="110" t="str">
        <f t="shared" ref="H178" si="65">DATEDIF(T178,S178,"y") &amp; " años " &amp; DATEDIF(T178,S178,"ym") &amp; " meses " &amp; DATEDIF(T178,S178,"md") &amp; " días"</f>
        <v>76 años 0 meses 5 días</v>
      </c>
      <c r="I178" s="110"/>
      <c r="J178" s="195"/>
      <c r="K178" s="196"/>
      <c r="L178" s="197"/>
      <c r="M178" s="115">
        <v>25000</v>
      </c>
      <c r="N178" s="115">
        <f>M178*G178</f>
        <v>23125</v>
      </c>
      <c r="O178" s="134" t="s">
        <v>2064</v>
      </c>
      <c r="P178" s="134" t="s">
        <v>2251</v>
      </c>
      <c r="Q178" s="115" t="s">
        <v>337</v>
      </c>
      <c r="R178" s="154">
        <v>40041</v>
      </c>
      <c r="S178" s="154">
        <v>45383</v>
      </c>
      <c r="T178" s="155">
        <v>17619</v>
      </c>
      <c r="U178" s="155"/>
      <c r="V178" s="116"/>
      <c r="W178" s="116"/>
      <c r="X178" s="116"/>
      <c r="Y178" s="116"/>
      <c r="Z178"/>
      <c r="AA178"/>
      <c r="AB178"/>
      <c r="AC178" s="117"/>
      <c r="AD178" s="118" t="s">
        <v>293</v>
      </c>
      <c r="AE178" s="119" t="s">
        <v>36</v>
      </c>
      <c r="AF178" s="135" t="s">
        <v>37</v>
      </c>
      <c r="AH178" s="118"/>
      <c r="AI178" s="118"/>
      <c r="AJ178" s="118"/>
      <c r="AL178" s="118"/>
      <c r="AM178" s="118"/>
      <c r="AN178" s="118"/>
    </row>
    <row r="179" spans="1:40" ht="12.75" customHeight="1" x14ac:dyDescent="0.25"/>
    <row r="180" spans="1:40" s="91" customFormat="1" x14ac:dyDescent="0.25">
      <c r="A180" s="191" t="s">
        <v>316</v>
      </c>
      <c r="B180" s="191"/>
      <c r="C180" s="191"/>
      <c r="D180" s="191"/>
      <c r="E180" s="191"/>
      <c r="F180" s="191"/>
      <c r="G180" s="191"/>
      <c r="H180" s="191"/>
      <c r="I180" s="191"/>
      <c r="J180" s="191"/>
      <c r="K180" s="191"/>
      <c r="L180" s="191"/>
      <c r="M180" s="191"/>
      <c r="N180" s="191"/>
      <c r="O180" s="191"/>
      <c r="P180" s="191"/>
      <c r="Q180" s="191"/>
      <c r="R180" s="138"/>
      <c r="S180" s="90"/>
      <c r="T180" s="90"/>
      <c r="Z180" s="52"/>
      <c r="AA180" s="52"/>
      <c r="AB180" s="52"/>
      <c r="AD180" s="92"/>
      <c r="AG180" s="93"/>
      <c r="AH180" s="181"/>
      <c r="AI180" s="181"/>
      <c r="AJ180" s="181"/>
      <c r="AL180" s="181"/>
      <c r="AM180" s="181"/>
      <c r="AN180" s="181"/>
    </row>
    <row r="181" spans="1:40" s="104" customFormat="1" ht="30" customHeight="1" x14ac:dyDescent="0.25">
      <c r="A181" s="94" t="s">
        <v>4</v>
      </c>
      <c r="B181" s="94" t="s">
        <v>5</v>
      </c>
      <c r="C181" s="95" t="s">
        <v>6</v>
      </c>
      <c r="D181" s="95" t="s">
        <v>7</v>
      </c>
      <c r="E181" s="94" t="s">
        <v>8</v>
      </c>
      <c r="F181" s="96" t="s">
        <v>9</v>
      </c>
      <c r="G181" s="96" t="s">
        <v>10</v>
      </c>
      <c r="H181" s="95" t="s">
        <v>11</v>
      </c>
      <c r="I181" s="97" t="s">
        <v>12</v>
      </c>
      <c r="J181" s="182" t="s">
        <v>13</v>
      </c>
      <c r="K181" s="183"/>
      <c r="L181" s="98" t="s">
        <v>14</v>
      </c>
      <c r="M181" s="99" t="s">
        <v>15</v>
      </c>
      <c r="N181" s="99" t="s">
        <v>16</v>
      </c>
      <c r="O181" s="99" t="s">
        <v>17</v>
      </c>
      <c r="P181" s="99" t="s">
        <v>18</v>
      </c>
      <c r="Q181" s="99" t="s">
        <v>335</v>
      </c>
      <c r="R181" s="99" t="s">
        <v>1950</v>
      </c>
      <c r="S181" s="100" t="s">
        <v>19</v>
      </c>
      <c r="T181" s="100" t="s">
        <v>20</v>
      </c>
      <c r="U181" s="101" t="s">
        <v>21</v>
      </c>
      <c r="V181" s="95" t="s">
        <v>13</v>
      </c>
      <c r="W181" s="100" t="s">
        <v>19</v>
      </c>
      <c r="X181" s="100" t="s">
        <v>20</v>
      </c>
      <c r="Y181" s="100" t="s">
        <v>19</v>
      </c>
      <c r="Z181" s="100" t="s">
        <v>20</v>
      </c>
      <c r="AA181" s="52"/>
      <c r="AB181" s="52"/>
      <c r="AC181" s="102"/>
      <c r="AD181" s="100" t="s">
        <v>22</v>
      </c>
      <c r="AE181" s="100" t="s">
        <v>23</v>
      </c>
      <c r="AF181" s="100" t="s">
        <v>24</v>
      </c>
      <c r="AG181" s="93"/>
      <c r="AH181" s="103" t="s">
        <v>25</v>
      </c>
      <c r="AI181" s="103" t="s">
        <v>26</v>
      </c>
      <c r="AJ181" s="103" t="s">
        <v>27</v>
      </c>
      <c r="AK181" s="93"/>
      <c r="AL181" s="103" t="s">
        <v>25</v>
      </c>
      <c r="AM181" s="103" t="s">
        <v>26</v>
      </c>
      <c r="AN181" s="103" t="s">
        <v>28</v>
      </c>
    </row>
    <row r="182" spans="1:40" s="93" customFormat="1" ht="39.950000000000003" customHeight="1" x14ac:dyDescent="0.25">
      <c r="A182" s="110">
        <v>1</v>
      </c>
      <c r="B182" s="110"/>
      <c r="C182" s="140" t="s">
        <v>300</v>
      </c>
      <c r="D182" s="140" t="s">
        <v>2271</v>
      </c>
      <c r="E182" s="150" t="s">
        <v>2272</v>
      </c>
      <c r="F182" s="142" t="str">
        <f>DATEDIF(R182,S182,"y") + DATEDIF(V182,W182,"y") + DATEDIF(X182,Y182,"y") + SUM(AH182) &amp; " años " &amp; DATEDIF(R182,S182,"ym") + DATEDIF(V182,W182,"ym") + DATEDIF(X182,Y182,"ym") + SUM(AI182) - SUM(AM182) &amp; " meses " &amp; DATEDIF(R182,S182,"md") + DATEDIF(V182,W182,"md") + DATEDIF(X182,Y182,"md") - SUM(AN182) &amp; " días"</f>
        <v>18 años 9 meses 26 días</v>
      </c>
      <c r="G182" s="149">
        <v>0.6</v>
      </c>
      <c r="H182" s="110" t="str">
        <f>DATEDIF(T182,S182,"y") &amp; " años " &amp; DATEDIF(T182,S182,"ym") &amp; " meses " &amp; DATEDIF(T182,S182,"md") &amp; " días"</f>
        <v>72 años 9 meses 8 días</v>
      </c>
      <c r="I182" s="110"/>
      <c r="J182" s="195"/>
      <c r="K182" s="196"/>
      <c r="L182" s="197"/>
      <c r="M182" s="151">
        <v>10000</v>
      </c>
      <c r="N182" s="115">
        <v>10000</v>
      </c>
      <c r="O182" s="134" t="s">
        <v>1836</v>
      </c>
      <c r="P182" s="134" t="s">
        <v>298</v>
      </c>
      <c r="Q182" s="115" t="s">
        <v>336</v>
      </c>
      <c r="R182" s="145">
        <v>38509</v>
      </c>
      <c r="S182" s="146">
        <v>45383</v>
      </c>
      <c r="T182" s="145">
        <v>18803</v>
      </c>
      <c r="U182" s="145"/>
      <c r="V182" s="116"/>
      <c r="W182" s="116"/>
      <c r="X182" s="116"/>
      <c r="Y182" s="116"/>
      <c r="Z182" s="52"/>
      <c r="AA182" s="52"/>
      <c r="AB182" s="52"/>
      <c r="AC182" s="117"/>
      <c r="AD182" s="118" t="s">
        <v>293</v>
      </c>
      <c r="AE182" s="119" t="s">
        <v>36</v>
      </c>
      <c r="AF182" s="135" t="s">
        <v>37</v>
      </c>
      <c r="AH182" s="118"/>
      <c r="AI182" s="118"/>
      <c r="AJ182" s="118"/>
      <c r="AL182" s="118"/>
      <c r="AM182" s="118"/>
      <c r="AN182" s="118"/>
    </row>
    <row r="183" spans="1:40" s="93" customFormat="1" ht="39.950000000000003" customHeight="1" x14ac:dyDescent="0.25">
      <c r="A183" s="110">
        <v>2</v>
      </c>
      <c r="B183" s="110"/>
      <c r="C183" s="140" t="s">
        <v>300</v>
      </c>
      <c r="D183" s="140" t="s">
        <v>2273</v>
      </c>
      <c r="E183" s="141" t="s">
        <v>2274</v>
      </c>
      <c r="F183" s="142" t="str">
        <f t="shared" ref="F183:F184" si="66">DATEDIF(R183,S183,"y") + DATEDIF(V183,W183,"y") + DATEDIF(X183,Y183,"y") + SUM(AH183) &amp; " años " &amp; DATEDIF(R183,S183,"ym") + DATEDIF(V183,W183,"ym") + DATEDIF(X183,Y183,"ym") + SUM(AI183) - SUM(AM183) &amp; " meses " &amp; DATEDIF(R183,S183,"md") + DATEDIF(V183,W183,"md") + DATEDIF(X183,Y183,"md") - SUM(AN183) &amp; " días"</f>
        <v>20 años 1 meses 19 días</v>
      </c>
      <c r="G183" s="143">
        <v>0.6</v>
      </c>
      <c r="H183" s="110" t="str">
        <f t="shared" ref="H183:H184" si="67">DATEDIF(T183,S183,"y") &amp; " años " &amp; DATEDIF(T183,S183,"ym") &amp; " meses " &amp; DATEDIF(T183,S183,"md") &amp; " días"</f>
        <v>50 años 0 meses 22 días</v>
      </c>
      <c r="I183" s="110"/>
      <c r="J183" s="195"/>
      <c r="K183" s="196"/>
      <c r="L183" s="197"/>
      <c r="M183" s="144"/>
      <c r="N183" s="115">
        <v>10000</v>
      </c>
      <c r="O183" s="134"/>
      <c r="P183" s="134" t="s">
        <v>298</v>
      </c>
      <c r="Q183" s="115" t="s">
        <v>336</v>
      </c>
      <c r="R183" s="145">
        <v>38030</v>
      </c>
      <c r="S183" s="146">
        <v>45383</v>
      </c>
      <c r="T183" s="145">
        <v>27098</v>
      </c>
      <c r="U183" s="145"/>
      <c r="V183" s="116"/>
      <c r="W183" s="116"/>
      <c r="X183" s="116"/>
      <c r="Y183" s="116"/>
      <c r="Z183" s="52"/>
      <c r="AA183" s="52"/>
      <c r="AB183" s="52"/>
      <c r="AC183" s="117"/>
      <c r="AD183" s="118" t="s">
        <v>129</v>
      </c>
      <c r="AE183" s="119" t="s">
        <v>36</v>
      </c>
      <c r="AF183" s="135" t="s">
        <v>37</v>
      </c>
      <c r="AH183" s="118"/>
      <c r="AI183" s="118"/>
      <c r="AJ183" s="118"/>
      <c r="AL183" s="118"/>
      <c r="AM183" s="118"/>
      <c r="AN183" s="118"/>
    </row>
    <row r="184" spans="1:40" s="93" customFormat="1" ht="39.950000000000003" customHeight="1" x14ac:dyDescent="0.25">
      <c r="A184" s="110">
        <v>3</v>
      </c>
      <c r="B184" s="110"/>
      <c r="C184" s="140" t="s">
        <v>300</v>
      </c>
      <c r="D184" s="140" t="s">
        <v>2275</v>
      </c>
      <c r="E184" s="141" t="s">
        <v>2276</v>
      </c>
      <c r="F184" s="142" t="str">
        <f t="shared" si="66"/>
        <v>20 años 4 meses 7 días</v>
      </c>
      <c r="G184" s="143">
        <v>0.6</v>
      </c>
      <c r="H184" s="110" t="str">
        <f t="shared" si="67"/>
        <v>48 años 1 meses 9 días</v>
      </c>
      <c r="I184" s="110"/>
      <c r="J184" s="195"/>
      <c r="K184" s="196"/>
      <c r="L184" s="197"/>
      <c r="M184" s="144">
        <v>19800</v>
      </c>
      <c r="N184" s="115">
        <f>M184*G184</f>
        <v>11880</v>
      </c>
      <c r="O184" s="134"/>
      <c r="P184" s="134" t="s">
        <v>298</v>
      </c>
      <c r="Q184" s="115" t="s">
        <v>336</v>
      </c>
      <c r="R184" s="145">
        <v>37950</v>
      </c>
      <c r="S184" s="146">
        <v>45383</v>
      </c>
      <c r="T184" s="145">
        <v>27813</v>
      </c>
      <c r="U184" s="145"/>
      <c r="V184" s="116"/>
      <c r="W184" s="116"/>
      <c r="X184" s="116"/>
      <c r="Y184" s="116"/>
      <c r="Z184" s="52"/>
      <c r="AA184" s="52"/>
      <c r="AB184" s="52"/>
      <c r="AC184" s="117"/>
      <c r="AD184" s="118" t="s">
        <v>134</v>
      </c>
      <c r="AE184" s="119" t="s">
        <v>36</v>
      </c>
      <c r="AF184" s="135" t="s">
        <v>37</v>
      </c>
      <c r="AH184" s="118"/>
      <c r="AI184" s="118"/>
      <c r="AJ184" s="118"/>
      <c r="AL184" s="118"/>
      <c r="AM184" s="118"/>
      <c r="AN184" s="118"/>
    </row>
    <row r="185" spans="1:40" s="93" customFormat="1" ht="39.950000000000003" customHeight="1" x14ac:dyDescent="0.25">
      <c r="A185" s="110">
        <v>4</v>
      </c>
      <c r="B185" s="110"/>
      <c r="C185" s="140" t="s">
        <v>300</v>
      </c>
      <c r="D185" s="140" t="s">
        <v>2277</v>
      </c>
      <c r="E185" s="141" t="s">
        <v>2278</v>
      </c>
      <c r="F185" s="142" t="str">
        <f>DATEDIF(R185,S185,"y") + DATEDIF(V185,W185,"y") + DATEDIF(X185,Y185,"y") + SUM(AH185) &amp; " años " &amp; DATEDIF(R185,S185,"ym") + DATEDIF(V185,W185,"ym") + DATEDIF(X185,Y185,"ym") + SUM(AI185) - SUM(AM185) &amp; " meses " &amp; DATEDIF(R185,S185,"md") + DATEDIF(V185,W185,"md") + DATEDIF(X185,Y185,"md") - SUM(AN185) &amp; " días"</f>
        <v>37 años 1 meses 30 días</v>
      </c>
      <c r="G185" s="143">
        <v>1</v>
      </c>
      <c r="H185" s="110" t="str">
        <f>DATEDIF(T185,S185,"y") &amp; " años " &amp; DATEDIF(T185,S185,"ym") &amp; " meses " &amp; DATEDIF(T185,S185,"md") &amp; " días"</f>
        <v>61 años 5 meses 18 días</v>
      </c>
      <c r="I185" s="110"/>
      <c r="J185" s="195"/>
      <c r="K185" s="196"/>
      <c r="L185" s="197"/>
      <c r="M185" s="144"/>
      <c r="N185" s="115">
        <v>10000</v>
      </c>
      <c r="O185" s="134"/>
      <c r="P185" s="134" t="s">
        <v>298</v>
      </c>
      <c r="Q185" s="115" t="s">
        <v>336</v>
      </c>
      <c r="R185" s="145">
        <v>31810</v>
      </c>
      <c r="S185" s="146">
        <v>45383</v>
      </c>
      <c r="T185" s="145">
        <v>22933</v>
      </c>
      <c r="U185" s="145"/>
      <c r="V185" s="116"/>
      <c r="W185" s="116"/>
      <c r="X185" s="116"/>
      <c r="Y185" s="116"/>
      <c r="Z185" s="52"/>
      <c r="AA185" s="52"/>
      <c r="AB185" s="52"/>
      <c r="AC185" s="117"/>
      <c r="AD185" s="118" t="s">
        <v>268</v>
      </c>
      <c r="AE185" s="119" t="s">
        <v>36</v>
      </c>
      <c r="AF185" s="135" t="s">
        <v>37</v>
      </c>
      <c r="AH185" s="118"/>
      <c r="AI185" s="118"/>
      <c r="AJ185" s="118"/>
      <c r="AL185" s="118"/>
      <c r="AM185" s="118"/>
      <c r="AN185" s="118"/>
    </row>
    <row r="186" spans="1:40" s="93" customFormat="1" ht="39.950000000000003" customHeight="1" x14ac:dyDescent="0.25">
      <c r="A186" s="110">
        <v>5</v>
      </c>
      <c r="B186" s="150"/>
      <c r="C186" s="140" t="s">
        <v>230</v>
      </c>
      <c r="D186" s="140" t="s">
        <v>2279</v>
      </c>
      <c r="E186" s="150" t="s">
        <v>2280</v>
      </c>
      <c r="F186" s="142" t="str">
        <f>DATEDIF(R186,S186,"y") + DATEDIF(V186,W186,"y") + DATEDIF(X186,Y186,"y") + SUM(AH186) &amp; " años " &amp; DATEDIF(R186,S186,"ym") + DATEDIF(V186,W186,"ym") + DATEDIF(X186,Y186,"ym") + SUM(AI186) - SUM(AM186) &amp; " meses " &amp; DATEDIF(R186,S186,"md") + DATEDIF(V186,W186,"md") + DATEDIF(X186,Y186,"md") - SUM(AN186) &amp; " días"</f>
        <v>21 años 10 meses 22 días</v>
      </c>
      <c r="G186" s="149">
        <v>0.65</v>
      </c>
      <c r="H186" s="110" t="str">
        <f>DATEDIF(T186,S186,"y") &amp; " años " &amp; DATEDIF(T186,S186,"ym") &amp; " meses " &amp; DATEDIF(T186,S186,"md") &amp; " días"</f>
        <v>49 años 5 meses 22 días</v>
      </c>
      <c r="I186" s="110"/>
      <c r="J186" s="195"/>
      <c r="K186" s="196"/>
      <c r="L186" s="197"/>
      <c r="M186" s="151">
        <v>19800</v>
      </c>
      <c r="N186" s="115">
        <f>M186*G186</f>
        <v>12870</v>
      </c>
      <c r="O186" s="134" t="s">
        <v>2074</v>
      </c>
      <c r="P186" s="134" t="s">
        <v>33</v>
      </c>
      <c r="Q186" s="115" t="s">
        <v>338</v>
      </c>
      <c r="R186" s="145">
        <v>37081</v>
      </c>
      <c r="S186" s="146">
        <v>45077</v>
      </c>
      <c r="T186" s="145">
        <v>27007</v>
      </c>
      <c r="U186" s="145"/>
      <c r="V186" s="116"/>
      <c r="W186" s="116"/>
      <c r="X186" s="116"/>
      <c r="Y186" s="116"/>
      <c r="Z186" s="52"/>
      <c r="AA186" s="52"/>
      <c r="AB186" s="52"/>
      <c r="AC186" s="117"/>
      <c r="AD186" s="118" t="s">
        <v>293</v>
      </c>
      <c r="AE186" s="119" t="s">
        <v>36</v>
      </c>
      <c r="AF186" s="135" t="s">
        <v>37</v>
      </c>
      <c r="AH186" s="118"/>
      <c r="AI186" s="118"/>
      <c r="AJ186" s="118"/>
      <c r="AL186" s="118"/>
      <c r="AM186" s="118"/>
      <c r="AN186" s="118"/>
    </row>
    <row r="187" spans="1:40" hidden="1" x14ac:dyDescent="0.25"/>
    <row r="188" spans="1:40" s="91" customFormat="1" hidden="1" x14ac:dyDescent="0.25">
      <c r="A188" s="191" t="s">
        <v>1956</v>
      </c>
      <c r="B188" s="191"/>
      <c r="C188" s="191"/>
      <c r="D188" s="191"/>
      <c r="E188" s="191"/>
      <c r="F188" s="191"/>
      <c r="G188" s="191"/>
      <c r="H188" s="191"/>
      <c r="I188" s="191"/>
      <c r="J188" s="191"/>
      <c r="K188" s="191"/>
      <c r="L188" s="191"/>
      <c r="M188" s="191"/>
      <c r="N188" s="191"/>
      <c r="O188" s="191"/>
      <c r="P188" s="191"/>
      <c r="Q188" s="191"/>
      <c r="R188" s="191"/>
      <c r="S188" s="90"/>
      <c r="T188" s="90"/>
      <c r="Z188" s="52"/>
      <c r="AA188" s="52"/>
      <c r="AB188" s="52"/>
      <c r="AD188" s="92"/>
      <c r="AG188" s="93"/>
      <c r="AH188" s="181" t="s">
        <v>2</v>
      </c>
      <c r="AI188" s="181"/>
      <c r="AJ188" s="181"/>
      <c r="AL188" s="181" t="s">
        <v>3</v>
      </c>
      <c r="AM188" s="181"/>
      <c r="AN188" s="181"/>
    </row>
    <row r="189" spans="1:40" s="104" customFormat="1" ht="30" hidden="1" customHeight="1" x14ac:dyDescent="0.25">
      <c r="A189" s="94" t="s">
        <v>4</v>
      </c>
      <c r="B189" s="94" t="s">
        <v>5</v>
      </c>
      <c r="C189" s="95" t="s">
        <v>6</v>
      </c>
      <c r="D189" s="95" t="s">
        <v>7</v>
      </c>
      <c r="E189" s="94" t="s">
        <v>8</v>
      </c>
      <c r="F189" s="96" t="s">
        <v>9</v>
      </c>
      <c r="G189" s="96" t="s">
        <v>10</v>
      </c>
      <c r="H189" s="95" t="s">
        <v>11</v>
      </c>
      <c r="I189" s="97" t="s">
        <v>12</v>
      </c>
      <c r="J189" s="182" t="s">
        <v>13</v>
      </c>
      <c r="K189" s="183"/>
      <c r="L189" s="98" t="s">
        <v>14</v>
      </c>
      <c r="M189" s="99" t="s">
        <v>15</v>
      </c>
      <c r="N189" s="99" t="s">
        <v>16</v>
      </c>
      <c r="O189" s="99" t="s">
        <v>17</v>
      </c>
      <c r="P189" s="99" t="s">
        <v>18</v>
      </c>
      <c r="Q189" s="99" t="s">
        <v>335</v>
      </c>
      <c r="R189" s="99" t="s">
        <v>1950</v>
      </c>
      <c r="S189" s="100" t="s">
        <v>19</v>
      </c>
      <c r="T189" s="100" t="s">
        <v>20</v>
      </c>
      <c r="U189" s="101" t="s">
        <v>21</v>
      </c>
      <c r="V189" s="95" t="s">
        <v>13</v>
      </c>
      <c r="W189" s="100" t="s">
        <v>19</v>
      </c>
      <c r="X189" s="100" t="s">
        <v>20</v>
      </c>
      <c r="Y189" s="100" t="s">
        <v>19</v>
      </c>
      <c r="Z189" s="100" t="s">
        <v>20</v>
      </c>
      <c r="AA189" s="52"/>
      <c r="AB189" s="52"/>
      <c r="AC189" s="102"/>
      <c r="AD189" s="100" t="s">
        <v>22</v>
      </c>
      <c r="AE189" s="100" t="s">
        <v>23</v>
      </c>
      <c r="AF189" s="100" t="s">
        <v>24</v>
      </c>
      <c r="AG189" s="93"/>
      <c r="AH189" s="103" t="s">
        <v>25</v>
      </c>
      <c r="AI189" s="103" t="s">
        <v>26</v>
      </c>
      <c r="AJ189" s="103" t="s">
        <v>27</v>
      </c>
      <c r="AK189" s="93"/>
      <c r="AL189" s="103" t="s">
        <v>25</v>
      </c>
      <c r="AM189" s="103" t="s">
        <v>26</v>
      </c>
      <c r="AN189" s="103" t="s">
        <v>28</v>
      </c>
    </row>
    <row r="190" spans="1:40" s="93" customFormat="1" ht="8.25" hidden="1" customHeight="1" x14ac:dyDescent="0.25">
      <c r="A190" s="110"/>
      <c r="B190" s="110"/>
      <c r="C190" s="131"/>
      <c r="D190" s="131"/>
      <c r="E190" s="132"/>
      <c r="F190" s="110"/>
      <c r="G190" s="133"/>
      <c r="H190" s="110"/>
      <c r="I190" s="110"/>
      <c r="J190" s="190"/>
      <c r="K190" s="190"/>
      <c r="L190" s="110"/>
      <c r="M190" s="115"/>
      <c r="N190" s="115"/>
      <c r="O190" s="134"/>
      <c r="P190" s="115"/>
      <c r="Q190" s="115"/>
      <c r="R190" s="115"/>
      <c r="S190" s="116"/>
      <c r="T190" s="116"/>
      <c r="U190" s="116"/>
      <c r="V190" s="116"/>
      <c r="W190" s="116"/>
      <c r="X190" s="116"/>
      <c r="Y190" s="116"/>
      <c r="Z190" s="116"/>
      <c r="AA190" s="52"/>
      <c r="AB190" s="52"/>
      <c r="AC190" s="117"/>
      <c r="AD190" s="118"/>
      <c r="AE190" s="119"/>
      <c r="AF190" s="135"/>
      <c r="AH190" s="118"/>
      <c r="AI190" s="118"/>
      <c r="AJ190" s="118"/>
      <c r="AL190" s="118"/>
      <c r="AM190" s="118"/>
      <c r="AN190" s="118"/>
    </row>
    <row r="191" spans="1:40" s="5" customFormat="1" ht="12.75" x14ac:dyDescent="0.2">
      <c r="A191" s="33"/>
      <c r="B191" s="34"/>
      <c r="C191" s="35"/>
      <c r="D191" s="36"/>
      <c r="E191" s="36"/>
      <c r="F191" s="37"/>
      <c r="G191" s="38"/>
      <c r="H191" s="38"/>
      <c r="I191" s="39"/>
      <c r="J191" s="40"/>
      <c r="K191" s="4"/>
      <c r="L191" s="4"/>
      <c r="M191" s="4"/>
      <c r="N191" s="4"/>
    </row>
    <row r="192" spans="1:40" s="5" customFormat="1" ht="12.75" x14ac:dyDescent="0.2">
      <c r="A192" s="33"/>
      <c r="B192" s="34"/>
      <c r="C192" s="35"/>
      <c r="D192" s="36"/>
      <c r="E192" s="36"/>
      <c r="F192" s="37"/>
      <c r="G192" s="38"/>
      <c r="H192" s="38"/>
      <c r="I192" s="39"/>
      <c r="J192" s="40"/>
      <c r="K192" s="4"/>
      <c r="L192" s="4"/>
      <c r="M192" s="4"/>
      <c r="N192" s="4"/>
      <c r="V192" s="1"/>
    </row>
    <row r="193" spans="1:23" s="5" customFormat="1" ht="12.75" x14ac:dyDescent="0.2">
      <c r="A193" s="33"/>
      <c r="B193" s="34"/>
      <c r="C193" s="35"/>
      <c r="D193" s="36"/>
      <c r="E193" s="36"/>
      <c r="F193" s="37"/>
      <c r="G193" s="38"/>
      <c r="H193" s="38"/>
      <c r="I193" s="39"/>
      <c r="J193" s="40"/>
      <c r="K193" s="4"/>
      <c r="L193" s="4"/>
      <c r="M193" s="4"/>
      <c r="N193" s="4"/>
      <c r="W193" s="41"/>
    </row>
    <row r="194" spans="1:23" s="5" customFormat="1" ht="12.75" x14ac:dyDescent="0.2">
      <c r="A194" s="33"/>
      <c r="B194" s="34"/>
      <c r="C194" s="35"/>
      <c r="D194" s="36"/>
      <c r="E194" s="36"/>
      <c r="F194" s="37"/>
      <c r="G194" s="38"/>
      <c r="H194" s="38"/>
      <c r="I194" s="39"/>
      <c r="J194" s="40"/>
      <c r="K194" s="4"/>
      <c r="L194" s="4"/>
      <c r="M194" s="4"/>
      <c r="N194" s="4"/>
    </row>
    <row r="195" spans="1:23" s="5" customFormat="1" ht="12.75" x14ac:dyDescent="0.2">
      <c r="A195" s="33"/>
      <c r="B195" s="34"/>
      <c r="C195" s="35"/>
      <c r="D195" s="36"/>
      <c r="E195" s="36"/>
      <c r="F195" s="37"/>
      <c r="G195" s="38"/>
      <c r="H195" s="38"/>
      <c r="I195" s="39"/>
      <c r="J195" s="40"/>
      <c r="K195" s="4"/>
      <c r="L195" s="4"/>
      <c r="M195" s="4"/>
      <c r="N195" s="4"/>
    </row>
    <row r="196" spans="1:23" s="5" customFormat="1" ht="12.75" x14ac:dyDescent="0.2">
      <c r="A196" s="174" t="s">
        <v>330</v>
      </c>
      <c r="B196" s="174"/>
      <c r="C196" s="174"/>
      <c r="D196" s="174"/>
      <c r="E196" s="174"/>
      <c r="F196" s="174"/>
      <c r="G196" s="174"/>
      <c r="H196" s="174"/>
      <c r="I196" s="174"/>
      <c r="J196" s="174"/>
      <c r="K196" s="174"/>
      <c r="L196" s="174"/>
      <c r="M196" s="174"/>
      <c r="N196" s="174"/>
      <c r="O196" s="174"/>
      <c r="P196" s="174"/>
      <c r="Q196" s="174"/>
    </row>
    <row r="197" spans="1:23" s="5" customFormat="1" ht="12.75" x14ac:dyDescent="0.2">
      <c r="A197" s="175" t="s">
        <v>331</v>
      </c>
      <c r="B197" s="175"/>
      <c r="C197" s="175"/>
      <c r="D197" s="175"/>
      <c r="E197" s="175"/>
      <c r="F197" s="175"/>
      <c r="G197" s="175"/>
      <c r="H197" s="175"/>
      <c r="I197" s="175"/>
      <c r="J197" s="175"/>
      <c r="K197" s="175"/>
      <c r="L197" s="175"/>
      <c r="M197" s="175"/>
      <c r="N197" s="175"/>
      <c r="O197" s="175"/>
      <c r="P197" s="175"/>
      <c r="Q197" s="175"/>
    </row>
    <row r="198" spans="1:23" s="5" customFormat="1" ht="12.75" x14ac:dyDescent="0.2">
      <c r="A198" s="175" t="s">
        <v>332</v>
      </c>
      <c r="B198" s="175"/>
      <c r="C198" s="175"/>
      <c r="D198" s="175"/>
      <c r="E198" s="175"/>
      <c r="F198" s="175"/>
      <c r="G198" s="175"/>
      <c r="H198" s="175"/>
      <c r="I198" s="175"/>
      <c r="J198" s="175"/>
      <c r="K198" s="175"/>
      <c r="L198" s="175"/>
      <c r="M198" s="175"/>
      <c r="N198" s="175"/>
      <c r="O198" s="175"/>
      <c r="P198" s="175"/>
      <c r="Q198" s="175"/>
    </row>
    <row r="199" spans="1:23" s="5" customFormat="1" ht="12.75" x14ac:dyDescent="0.2">
      <c r="A199" s="42"/>
      <c r="B199" s="42"/>
      <c r="C199" s="42"/>
      <c r="D199" s="42"/>
      <c r="E199" s="42"/>
      <c r="F199" s="42"/>
      <c r="G199" s="43"/>
      <c r="H199" s="43"/>
      <c r="I199" s="44"/>
    </row>
    <row r="200" spans="1:23" ht="12.75" customHeight="1" x14ac:dyDescent="0.25">
      <c r="A200" s="45" t="s">
        <v>333</v>
      </c>
      <c r="B200" s="46"/>
      <c r="C200" s="46"/>
      <c r="D200" s="47"/>
      <c r="E200" s="48"/>
      <c r="F200" s="49"/>
      <c r="G200" s="50"/>
      <c r="H200" s="50"/>
      <c r="I200" s="51"/>
    </row>
    <row r="201" spans="1:23" ht="9.75" customHeight="1" x14ac:dyDescent="0.25">
      <c r="A201" s="53" t="s">
        <v>334</v>
      </c>
      <c r="B201" s="46"/>
      <c r="C201" s="46"/>
      <c r="D201" s="47"/>
      <c r="E201" s="48"/>
      <c r="F201" s="49"/>
      <c r="G201" s="50"/>
      <c r="H201" s="50"/>
      <c r="I201" s="51"/>
    </row>
    <row r="202" spans="1:23" ht="90" customHeight="1" x14ac:dyDescent="0.25"/>
    <row r="203" spans="1:23" ht="90" customHeight="1" x14ac:dyDescent="0.25"/>
    <row r="207" spans="1:23" ht="90" customHeight="1" x14ac:dyDescent="0.25"/>
    <row r="208" spans="1:23" ht="90" customHeight="1" x14ac:dyDescent="0.25"/>
    <row r="209" ht="90" customHeight="1" x14ac:dyDescent="0.25"/>
    <row r="210" ht="90" customHeight="1" x14ac:dyDescent="0.25"/>
    <row r="211" ht="90" customHeight="1" x14ac:dyDescent="0.25"/>
    <row r="213" ht="90" customHeight="1" x14ac:dyDescent="0.25"/>
    <row r="214" ht="90" customHeight="1" x14ac:dyDescent="0.25"/>
    <row r="215" ht="90" customHeight="1" x14ac:dyDescent="0.25"/>
    <row r="216" ht="90" customHeight="1" x14ac:dyDescent="0.25"/>
    <row r="218" ht="90" customHeight="1" x14ac:dyDescent="0.25"/>
    <row r="219" ht="90" customHeight="1" x14ac:dyDescent="0.25"/>
    <row r="221" ht="146.25" customHeight="1" x14ac:dyDescent="0.25"/>
    <row r="222" ht="165" customHeight="1" x14ac:dyDescent="0.25"/>
    <row r="223" ht="90" customHeight="1" x14ac:dyDescent="0.25"/>
    <row r="224" ht="90" customHeight="1" x14ac:dyDescent="0.25"/>
    <row r="225" ht="90" customHeight="1" x14ac:dyDescent="0.25"/>
    <row r="227" ht="90" customHeight="1" x14ac:dyDescent="0.25"/>
    <row r="228" ht="90" customHeight="1" x14ac:dyDescent="0.25"/>
    <row r="230" ht="90" customHeight="1" x14ac:dyDescent="0.25"/>
  </sheetData>
  <mergeCells count="192">
    <mergeCell ref="A15:Q15"/>
    <mergeCell ref="A17:Q17"/>
    <mergeCell ref="A98:Q98"/>
    <mergeCell ref="A135:Q135"/>
    <mergeCell ref="A180:Q180"/>
    <mergeCell ref="J173:L173"/>
    <mergeCell ref="J174:L174"/>
    <mergeCell ref="J175:L175"/>
    <mergeCell ref="J176:L176"/>
    <mergeCell ref="J177:L177"/>
    <mergeCell ref="J178:L178"/>
    <mergeCell ref="J167:L167"/>
    <mergeCell ref="J168:L168"/>
    <mergeCell ref="J169:L169"/>
    <mergeCell ref="J170:L170"/>
    <mergeCell ref="J171:L171"/>
    <mergeCell ref="J172:L172"/>
    <mergeCell ref="J161:L161"/>
    <mergeCell ref="J162:L162"/>
    <mergeCell ref="J163:L163"/>
    <mergeCell ref="J164:L164"/>
    <mergeCell ref="J165:L165"/>
    <mergeCell ref="J166:L166"/>
    <mergeCell ref="J155:L155"/>
    <mergeCell ref="J156:L156"/>
    <mergeCell ref="J157:L157"/>
    <mergeCell ref="J158:L158"/>
    <mergeCell ref="J159:L159"/>
    <mergeCell ref="J160:L160"/>
    <mergeCell ref="J149:L149"/>
    <mergeCell ref="J150:L150"/>
    <mergeCell ref="J151:L151"/>
    <mergeCell ref="J152:L152"/>
    <mergeCell ref="J153:L153"/>
    <mergeCell ref="J154:L154"/>
    <mergeCell ref="J145:L145"/>
    <mergeCell ref="J146:L146"/>
    <mergeCell ref="J147:L147"/>
    <mergeCell ref="J148:L148"/>
    <mergeCell ref="J137:L137"/>
    <mergeCell ref="J138:L138"/>
    <mergeCell ref="J139:L139"/>
    <mergeCell ref="J140:L140"/>
    <mergeCell ref="J141:L141"/>
    <mergeCell ref="J142:L142"/>
    <mergeCell ref="J133:L133"/>
    <mergeCell ref="J122:L122"/>
    <mergeCell ref="J123:L123"/>
    <mergeCell ref="J124:L124"/>
    <mergeCell ref="J125:L125"/>
    <mergeCell ref="J126:L126"/>
    <mergeCell ref="J127:L127"/>
    <mergeCell ref="J143:L143"/>
    <mergeCell ref="J144:L144"/>
    <mergeCell ref="J86:L86"/>
    <mergeCell ref="J87:L87"/>
    <mergeCell ref="J88:L88"/>
    <mergeCell ref="J89:L89"/>
    <mergeCell ref="J90:L90"/>
    <mergeCell ref="J91:L91"/>
    <mergeCell ref="J116:L116"/>
    <mergeCell ref="J117:L117"/>
    <mergeCell ref="J118:L118"/>
    <mergeCell ref="J110:L110"/>
    <mergeCell ref="J111:L111"/>
    <mergeCell ref="J112:L112"/>
    <mergeCell ref="J113:L113"/>
    <mergeCell ref="J114:L114"/>
    <mergeCell ref="J115:L115"/>
    <mergeCell ref="J80:L80"/>
    <mergeCell ref="J81:L81"/>
    <mergeCell ref="J82:L82"/>
    <mergeCell ref="J83:L83"/>
    <mergeCell ref="J84:L84"/>
    <mergeCell ref="J85:L85"/>
    <mergeCell ref="J74:L74"/>
    <mergeCell ref="J75:L75"/>
    <mergeCell ref="J76:L76"/>
    <mergeCell ref="J77:L77"/>
    <mergeCell ref="J78:L78"/>
    <mergeCell ref="J79:L79"/>
    <mergeCell ref="J55:L55"/>
    <mergeCell ref="J68:L68"/>
    <mergeCell ref="J69:L69"/>
    <mergeCell ref="J70:L70"/>
    <mergeCell ref="J71:L71"/>
    <mergeCell ref="J72:L72"/>
    <mergeCell ref="J73:L73"/>
    <mergeCell ref="J62:L62"/>
    <mergeCell ref="J63:L63"/>
    <mergeCell ref="J64:L64"/>
    <mergeCell ref="J65:L65"/>
    <mergeCell ref="J66:L66"/>
    <mergeCell ref="J67:L67"/>
    <mergeCell ref="AR22:AT22"/>
    <mergeCell ref="J23:L23"/>
    <mergeCell ref="J24:L24"/>
    <mergeCell ref="J25:L25"/>
    <mergeCell ref="J26:L26"/>
    <mergeCell ref="J27:L27"/>
    <mergeCell ref="J44:L44"/>
    <mergeCell ref="J45:L45"/>
    <mergeCell ref="J46:L46"/>
    <mergeCell ref="J38:L38"/>
    <mergeCell ref="J39:L39"/>
    <mergeCell ref="J40:L40"/>
    <mergeCell ref="J41:L41"/>
    <mergeCell ref="J42:L42"/>
    <mergeCell ref="J43:L43"/>
    <mergeCell ref="J189:K189"/>
    <mergeCell ref="J190:K190"/>
    <mergeCell ref="A196:Q196"/>
    <mergeCell ref="A197:Q197"/>
    <mergeCell ref="A198:Q198"/>
    <mergeCell ref="J19:L19"/>
    <mergeCell ref="J20:L20"/>
    <mergeCell ref="J21:L21"/>
    <mergeCell ref="J22:L22"/>
    <mergeCell ref="J28:L28"/>
    <mergeCell ref="J94:K94"/>
    <mergeCell ref="J95:K95"/>
    <mergeCell ref="A96:G96"/>
    <mergeCell ref="I96:L96"/>
    <mergeCell ref="J32:L32"/>
    <mergeCell ref="J33:L33"/>
    <mergeCell ref="J34:L34"/>
    <mergeCell ref="J35:L35"/>
    <mergeCell ref="J36:L36"/>
    <mergeCell ref="J37:L37"/>
    <mergeCell ref="J47:L47"/>
    <mergeCell ref="J48:L48"/>
    <mergeCell ref="J49:L49"/>
    <mergeCell ref="J56:L56"/>
    <mergeCell ref="AH180:AJ180"/>
    <mergeCell ref="AL180:AN180"/>
    <mergeCell ref="J181:K181"/>
    <mergeCell ref="A188:R188"/>
    <mergeCell ref="AH188:AJ188"/>
    <mergeCell ref="AL188:AN188"/>
    <mergeCell ref="J182:L182"/>
    <mergeCell ref="J183:L183"/>
    <mergeCell ref="J184:L184"/>
    <mergeCell ref="J185:L185"/>
    <mergeCell ref="J186:L186"/>
    <mergeCell ref="AL98:AN98"/>
    <mergeCell ref="J99:K99"/>
    <mergeCell ref="AH135:AJ135"/>
    <mergeCell ref="AL135:AN135"/>
    <mergeCell ref="J136:K136"/>
    <mergeCell ref="J100:L100"/>
    <mergeCell ref="J101:L101"/>
    <mergeCell ref="J102:L102"/>
    <mergeCell ref="J103:L103"/>
    <mergeCell ref="AH98:AJ98"/>
    <mergeCell ref="J104:L104"/>
    <mergeCell ref="J105:L105"/>
    <mergeCell ref="J106:L106"/>
    <mergeCell ref="J107:L107"/>
    <mergeCell ref="J108:L108"/>
    <mergeCell ref="J109:L109"/>
    <mergeCell ref="J119:L119"/>
    <mergeCell ref="J120:L120"/>
    <mergeCell ref="J121:L121"/>
    <mergeCell ref="J128:L128"/>
    <mergeCell ref="J129:L129"/>
    <mergeCell ref="J130:L130"/>
    <mergeCell ref="J131:L131"/>
    <mergeCell ref="J132:L132"/>
    <mergeCell ref="A9:Q9"/>
    <mergeCell ref="A10:Q10"/>
    <mergeCell ref="A11:Q11"/>
    <mergeCell ref="A12:Q12"/>
    <mergeCell ref="A13:Q13"/>
    <mergeCell ref="AH17:AJ17"/>
    <mergeCell ref="AL17:AN17"/>
    <mergeCell ref="J18:K18"/>
    <mergeCell ref="A93:N93"/>
    <mergeCell ref="AH93:AJ93"/>
    <mergeCell ref="AL93:AN93"/>
    <mergeCell ref="J29:L29"/>
    <mergeCell ref="J30:L30"/>
    <mergeCell ref="J31:L31"/>
    <mergeCell ref="J57:L57"/>
    <mergeCell ref="J58:L58"/>
    <mergeCell ref="J59:L59"/>
    <mergeCell ref="J60:L60"/>
    <mergeCell ref="J61:L61"/>
    <mergeCell ref="J50:L50"/>
    <mergeCell ref="J51:L51"/>
    <mergeCell ref="J52:L52"/>
    <mergeCell ref="J53:L53"/>
    <mergeCell ref="J54:L54"/>
  </mergeCells>
  <printOptions horizontalCentered="1"/>
  <pageMargins left="0.23622047244094491" right="0.23622047244094491" top="0.43307086614173229" bottom="0.43307086614173229" header="0.31496062992125984" footer="0.31496062992125984"/>
  <pageSetup scale="83" firstPageNumber="3" fitToHeight="0" orientation="portrait" r:id="rId1"/>
  <headerFooter>
    <oddFooter>&amp;RPágina &amp;P de 08</oddFooter>
  </headerFooter>
  <rowBreaks count="1" manualBreakCount="1">
    <brk id="173" max="1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181"/>
  <sheetViews>
    <sheetView view="pageBreakPreview" zoomScale="65" zoomScaleNormal="90" zoomScaleSheetLayoutView="65" zoomScalePageLayoutView="60" workbookViewId="0">
      <selection sqref="A1:R152"/>
    </sheetView>
  </sheetViews>
  <sheetFormatPr baseColWidth="10" defaultRowHeight="15" x14ac:dyDescent="0.25"/>
  <cols>
    <col min="1" max="1" width="7.140625" style="52" customWidth="1"/>
    <col min="2" max="2" width="1.7109375" style="52" hidden="1" customWidth="1"/>
    <col min="3" max="3" width="25.140625" style="52" customWidth="1"/>
    <col min="4" max="4" width="42.85546875" style="52" customWidth="1"/>
    <col min="5" max="5" width="14.85546875" style="52" hidden="1" customWidth="1"/>
    <col min="6" max="6" width="16.28515625" style="52" hidden="1" customWidth="1"/>
    <col min="7" max="7" width="7.7109375" style="52" hidden="1" customWidth="1"/>
    <col min="8" max="8" width="12.5703125" style="52" hidden="1" customWidth="1"/>
    <col min="9" max="9" width="14.28515625" style="52" hidden="1" customWidth="1"/>
    <col min="10" max="10" width="20.7109375" style="52" customWidth="1"/>
    <col min="11" max="11" width="16.28515625" style="52" hidden="1" customWidth="1"/>
    <col min="12" max="12" width="15.140625" style="52" hidden="1" customWidth="1"/>
    <col min="13" max="13" width="21" style="52" hidden="1" customWidth="1"/>
    <col min="14" max="14" width="25.5703125" style="52" hidden="1" customWidth="1"/>
    <col min="15" max="15" width="18.85546875" style="52" hidden="1" customWidth="1"/>
    <col min="16" max="16" width="23.85546875" style="52" hidden="1" customWidth="1"/>
    <col min="17" max="17" width="26.140625" style="52" customWidth="1"/>
    <col min="18" max="18" width="36.28515625" style="52" hidden="1" customWidth="1"/>
    <col min="19" max="20" width="11.42578125" style="52" hidden="1" customWidth="1"/>
    <col min="21" max="21" width="18.5703125" style="52" hidden="1" customWidth="1"/>
    <col min="22" max="22" width="21.42578125" style="52" hidden="1" customWidth="1"/>
    <col min="23" max="26" width="11.42578125" style="52" hidden="1" customWidth="1"/>
    <col min="27" max="27" width="5.28515625" style="52" hidden="1" customWidth="1"/>
    <col min="28" max="28" width="6.140625" style="52" hidden="1" customWidth="1"/>
    <col min="29" max="29" width="4.28515625" style="52" hidden="1" customWidth="1"/>
    <col min="30" max="41" width="11.42578125" style="52" hidden="1" customWidth="1"/>
    <col min="42" max="48" width="11.42578125" style="52" customWidth="1"/>
    <col min="49" max="49" width="11.42578125" style="52"/>
    <col min="50" max="50" width="13" style="52" bestFit="1" customWidth="1"/>
    <col min="51" max="16384" width="11.42578125" style="52"/>
  </cols>
  <sheetData>
    <row r="1" spans="1:17" s="1" customFormat="1" ht="12.75" x14ac:dyDescent="0.2"/>
    <row r="2" spans="1:17" s="1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s="1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7" s="1" customFormat="1" ht="12.75" x14ac:dyDescent="0.2"/>
    <row r="5" spans="1:17" s="1" customFormat="1" ht="12.75" x14ac:dyDescent="0.2"/>
    <row r="6" spans="1:17" s="1" customFormat="1" ht="12.75" x14ac:dyDescent="0.2"/>
    <row r="7" spans="1:17" s="1" customFormat="1" ht="12.75" x14ac:dyDescent="0.2"/>
    <row r="8" spans="1:17" s="1" customFormat="1" ht="12.75" x14ac:dyDescent="0.2"/>
    <row r="9" spans="1:17" s="74" customFormat="1" ht="15.75" x14ac:dyDescent="0.25">
      <c r="A9" s="178" t="s">
        <v>883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</row>
    <row r="10" spans="1:17" s="74" customFormat="1" ht="15.75" x14ac:dyDescent="0.25">
      <c r="A10" s="178" t="s">
        <v>884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</row>
    <row r="11" spans="1:17" s="74" customFormat="1" ht="15.75" x14ac:dyDescent="0.25">
      <c r="A11" s="178" t="s">
        <v>885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</row>
    <row r="12" spans="1:17" s="74" customFormat="1" ht="15.75" x14ac:dyDescent="0.25">
      <c r="A12" s="178" t="s">
        <v>886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</row>
    <row r="13" spans="1:17" s="74" customFormat="1" ht="15.75" x14ac:dyDescent="0.25">
      <c r="A13" s="178" t="s">
        <v>887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</row>
    <row r="14" spans="1:17" s="1" customFormat="1" ht="13.5" thickBot="1" x14ac:dyDescent="0.25"/>
    <row r="15" spans="1:17" s="5" customFormat="1" ht="68.25" customHeight="1" thickBot="1" x14ac:dyDescent="0.25">
      <c r="A15" s="169" t="s">
        <v>2282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1"/>
    </row>
    <row r="17" spans="1:40" s="91" customFormat="1" x14ac:dyDescent="0.25">
      <c r="A17" s="191" t="s">
        <v>1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38"/>
      <c r="S17" s="90"/>
      <c r="T17" s="90"/>
      <c r="Z17" s="52"/>
      <c r="AA17" s="52"/>
      <c r="AB17" s="52"/>
      <c r="AD17" s="92"/>
      <c r="AG17" s="93"/>
      <c r="AH17" s="181" t="s">
        <v>2</v>
      </c>
      <c r="AI17" s="181"/>
      <c r="AJ17" s="181"/>
      <c r="AL17" s="181" t="s">
        <v>3</v>
      </c>
      <c r="AM17" s="181"/>
      <c r="AN17" s="181"/>
    </row>
    <row r="18" spans="1:40" s="104" customFormat="1" ht="30" customHeight="1" x14ac:dyDescent="0.25">
      <c r="A18" s="94" t="s">
        <v>4</v>
      </c>
      <c r="B18" s="94" t="s">
        <v>5</v>
      </c>
      <c r="C18" s="95" t="s">
        <v>6</v>
      </c>
      <c r="D18" s="95" t="s">
        <v>7</v>
      </c>
      <c r="E18" s="94" t="s">
        <v>8</v>
      </c>
      <c r="F18" s="96" t="s">
        <v>9</v>
      </c>
      <c r="G18" s="96" t="s">
        <v>10</v>
      </c>
      <c r="H18" s="95" t="s">
        <v>11</v>
      </c>
      <c r="I18" s="97" t="s">
        <v>12</v>
      </c>
      <c r="J18" s="182" t="s">
        <v>13</v>
      </c>
      <c r="K18" s="183"/>
      <c r="L18" s="98" t="s">
        <v>14</v>
      </c>
      <c r="M18" s="99" t="s">
        <v>15</v>
      </c>
      <c r="N18" s="99" t="s">
        <v>17</v>
      </c>
      <c r="O18" s="99" t="s">
        <v>18</v>
      </c>
      <c r="P18" s="99" t="s">
        <v>18</v>
      </c>
      <c r="Q18" s="99" t="s">
        <v>335</v>
      </c>
      <c r="R18" s="99" t="s">
        <v>1950</v>
      </c>
      <c r="S18" s="100" t="s">
        <v>19</v>
      </c>
      <c r="T18" s="100" t="s">
        <v>20</v>
      </c>
      <c r="U18" s="101" t="s">
        <v>21</v>
      </c>
      <c r="V18" s="95" t="s">
        <v>13</v>
      </c>
      <c r="W18" s="100" t="s">
        <v>19</v>
      </c>
      <c r="X18" s="100" t="s">
        <v>20</v>
      </c>
      <c r="Y18" s="100" t="s">
        <v>19</v>
      </c>
      <c r="Z18" s="100" t="s">
        <v>20</v>
      </c>
      <c r="AA18" s="52"/>
      <c r="AB18" s="52"/>
      <c r="AC18" s="102"/>
      <c r="AD18" s="100" t="s">
        <v>22</v>
      </c>
      <c r="AE18" s="100" t="s">
        <v>23</v>
      </c>
      <c r="AF18" s="100" t="s">
        <v>24</v>
      </c>
      <c r="AG18" s="93"/>
      <c r="AH18" s="103" t="s">
        <v>25</v>
      </c>
      <c r="AI18" s="103" t="s">
        <v>26</v>
      </c>
      <c r="AJ18" s="103" t="s">
        <v>27</v>
      </c>
      <c r="AK18" s="93"/>
      <c r="AL18" s="103" t="s">
        <v>25</v>
      </c>
      <c r="AM18" s="103" t="s">
        <v>26</v>
      </c>
      <c r="AN18" s="103" t="s">
        <v>28</v>
      </c>
    </row>
    <row r="19" spans="1:40" s="93" customFormat="1" ht="39.950000000000003" customHeight="1" x14ac:dyDescent="0.25">
      <c r="A19" s="110">
        <v>1</v>
      </c>
      <c r="B19" s="110"/>
      <c r="C19" s="148" t="s">
        <v>346</v>
      </c>
      <c r="D19" s="152" t="s">
        <v>2283</v>
      </c>
      <c r="E19" s="153" t="s">
        <v>2284</v>
      </c>
      <c r="F19" s="142" t="str">
        <f>DATEDIF(R19,S19,"y") + DATEDIF(V19,W19,"y") + DATEDIF(X19,Y19,"y") + SUM(AH19) &amp; " años " &amp; DATEDIF(R19,S19,"ym") + DATEDIF(V19,W19,"ym") + DATEDIF(X19,Y19,"ym") + SUM(AI19) - SUM(AM19) &amp; " meses " &amp; DATEDIF(R19,S19,"md") + DATEDIF(V19,W19,"md") + DATEDIF(X19,Y19,"md") - SUM(AN19) &amp; " días"</f>
        <v>24 años 8 meses 6 días</v>
      </c>
      <c r="G19" s="143">
        <v>0.72499999999999998</v>
      </c>
      <c r="H19" s="110" t="str">
        <f>DATEDIF(T19,S19,"y") &amp; " años " &amp; DATEDIF(T19,S19,"ym") &amp; " meses " &amp; DATEDIF(T19,S19,"md") &amp; " días"</f>
        <v>42 años 3 meses 0 días</v>
      </c>
      <c r="I19" s="110" t="str">
        <f>DATEDIF(U19,S19,"y") &amp; " años " &amp; DATEDIF(U19,S19,"ym") &amp; " meses " &amp; DATEDIF(U19,S19,"md") &amp; " días"</f>
        <v>7 años 6 meses 5 días</v>
      </c>
      <c r="J19" s="195"/>
      <c r="K19" s="196"/>
      <c r="L19" s="197"/>
      <c r="M19" s="115">
        <v>70000</v>
      </c>
      <c r="N19" s="115">
        <f>M19*G19</f>
        <v>50750</v>
      </c>
      <c r="O19" s="134" t="s">
        <v>2285</v>
      </c>
      <c r="P19" s="134" t="s">
        <v>33</v>
      </c>
      <c r="Q19" s="115" t="s">
        <v>338</v>
      </c>
      <c r="R19" s="154">
        <v>38020</v>
      </c>
      <c r="S19" s="154">
        <v>44268</v>
      </c>
      <c r="T19" s="155">
        <v>28837</v>
      </c>
      <c r="U19" s="155">
        <v>41525</v>
      </c>
      <c r="V19" s="116">
        <v>35074</v>
      </c>
      <c r="W19" s="116">
        <v>37838</v>
      </c>
      <c r="X19" s="116"/>
      <c r="Y19" s="116"/>
      <c r="Z19"/>
      <c r="AA19"/>
      <c r="AB19"/>
      <c r="AC19" s="117"/>
      <c r="AD19" s="118" t="s">
        <v>129</v>
      </c>
      <c r="AE19" s="164" t="s">
        <v>36</v>
      </c>
      <c r="AF19" s="120" t="s">
        <v>37</v>
      </c>
      <c r="AH19" s="118"/>
      <c r="AI19" s="118">
        <v>1</v>
      </c>
      <c r="AJ19" s="118"/>
      <c r="AL19" s="118"/>
      <c r="AM19" s="118"/>
      <c r="AN19" s="118">
        <v>30</v>
      </c>
    </row>
    <row r="20" spans="1:40" s="93" customFormat="1" ht="39.950000000000003" customHeight="1" x14ac:dyDescent="0.25">
      <c r="A20" s="110">
        <v>2</v>
      </c>
      <c r="B20" s="139"/>
      <c r="C20" s="140" t="s">
        <v>39</v>
      </c>
      <c r="D20" s="140" t="s">
        <v>2286</v>
      </c>
      <c r="E20" s="141" t="s">
        <v>2287</v>
      </c>
      <c r="F20" s="142" t="str">
        <f>DATEDIF(R20,S20,"y") + DATEDIF(V20,W20,"y") + DATEDIF(X20,Y20,"y") + SUM(AH20) &amp; " años " &amp; DATEDIF(R20,S20,"ym") + DATEDIF(V20,W20,"ym") + DATEDIF(X20,Y20,"ym") + SUM(AI20) - SUM(AM20) &amp; " meses " &amp; DATEDIF(R20,S20,"md") + DATEDIF(V20,W20,"md") + DATEDIF(X20,Y20,"md") - SUM(AN20) &amp; " días"</f>
        <v>34 años 9 meses 27 días</v>
      </c>
      <c r="G20" s="143">
        <v>1</v>
      </c>
      <c r="H20" s="110" t="str">
        <f>DATEDIF(T20,S20,"y") &amp; " años " &amp; DATEDIF(T20,S20,"ym") &amp; " meses " &amp; DATEDIF(T20,S20,"md") &amp; " días"</f>
        <v>56 años 5 meses 4 días</v>
      </c>
      <c r="I20" s="110" t="str">
        <f>DATEDIF(U20,S20,"y") &amp; " años " &amp; DATEDIF(U20,S20,"ym") &amp; " meses " &amp; DATEDIF(U20,S20,"md") &amp; " días"</f>
        <v>6 años 2 meses 5 días</v>
      </c>
      <c r="J20" s="195"/>
      <c r="K20" s="196"/>
      <c r="L20" s="197"/>
      <c r="M20" s="144">
        <v>42907.519999999997</v>
      </c>
      <c r="N20" s="115">
        <f>M20*G20</f>
        <v>42907.519999999997</v>
      </c>
      <c r="O20" s="134"/>
      <c r="P20" s="134" t="s">
        <v>2288</v>
      </c>
      <c r="Q20" s="115" t="s">
        <v>336</v>
      </c>
      <c r="R20" s="145">
        <v>32694</v>
      </c>
      <c r="S20" s="146">
        <v>45414</v>
      </c>
      <c r="T20" s="145">
        <v>24804</v>
      </c>
      <c r="U20" s="145">
        <v>43158</v>
      </c>
      <c r="V20" s="116"/>
      <c r="W20" s="116"/>
      <c r="X20" s="116"/>
      <c r="Y20" s="116"/>
      <c r="Z20" s="52"/>
      <c r="AA20" s="52"/>
      <c r="AB20" s="52"/>
      <c r="AC20" s="117"/>
      <c r="AD20" s="118" t="s">
        <v>268</v>
      </c>
      <c r="AE20" s="164" t="s">
        <v>36</v>
      </c>
      <c r="AF20" s="165" t="s">
        <v>37</v>
      </c>
      <c r="AH20" s="118"/>
      <c r="AI20" s="118"/>
      <c r="AJ20" s="118"/>
      <c r="AL20" s="118"/>
      <c r="AM20" s="118"/>
      <c r="AN20" s="118"/>
    </row>
    <row r="21" spans="1:40" s="93" customFormat="1" ht="39.950000000000003" customHeight="1" x14ac:dyDescent="0.25">
      <c r="A21" s="110">
        <v>3</v>
      </c>
      <c r="B21" s="139"/>
      <c r="C21" s="140" t="s">
        <v>39</v>
      </c>
      <c r="D21" s="140" t="s">
        <v>2289</v>
      </c>
      <c r="E21" s="141" t="s">
        <v>2290</v>
      </c>
      <c r="F21" s="142" t="str">
        <f>DATEDIF(R21,S21,"y") + DATEDIF(V21,W21,"y") + DATEDIF(X21,Y21,"y") + SUM(AH21) &amp; " años " &amp; DATEDIF(R21,S21,"ym") + DATEDIF(V21,W21,"ym") + DATEDIF(X21,Y21,"ym") + SUM(AI21) - SUM(AM21) &amp; " meses " &amp; DATEDIF(R21,S21,"md") + DATEDIF(V21,W21,"md") + DATEDIF(X21,Y21,"md") - SUM(AN21) &amp; " días"</f>
        <v>35 años 9 meses 1 días</v>
      </c>
      <c r="G21" s="143">
        <v>1</v>
      </c>
      <c r="H21" s="110" t="str">
        <f>DATEDIF(T21,S21,"y") &amp; " años " &amp; DATEDIF(T21,S21,"ym") &amp; " meses " &amp; DATEDIF(T21,S21,"md") &amp; " días"</f>
        <v>53 años 4 meses 15 días</v>
      </c>
      <c r="I21" s="110" t="str">
        <f>DATEDIF(U21,S21,"y") &amp; " años " &amp; DATEDIF(U21,S21,"ym") &amp; " meses " &amp; DATEDIF(U21,S21,"md") &amp; " días"</f>
        <v>4 años 2 meses 5 días</v>
      </c>
      <c r="J21" s="195"/>
      <c r="K21" s="196"/>
      <c r="L21" s="197"/>
      <c r="M21" s="144">
        <v>70000</v>
      </c>
      <c r="N21" s="115">
        <f>M21*G21</f>
        <v>70000</v>
      </c>
      <c r="O21" s="134"/>
      <c r="P21" s="134" t="s">
        <v>2288</v>
      </c>
      <c r="Q21" s="115" t="s">
        <v>336</v>
      </c>
      <c r="R21" s="145">
        <v>32356</v>
      </c>
      <c r="S21" s="146">
        <v>45414</v>
      </c>
      <c r="T21" s="145">
        <v>25919</v>
      </c>
      <c r="U21" s="145">
        <v>43888</v>
      </c>
      <c r="V21" s="116"/>
      <c r="W21" s="116"/>
      <c r="X21" s="116"/>
      <c r="Y21" s="116"/>
      <c r="Z21" s="52"/>
      <c r="AA21" s="52"/>
      <c r="AB21" s="52"/>
      <c r="AC21" s="117"/>
      <c r="AD21" s="118" t="s">
        <v>190</v>
      </c>
      <c r="AE21" s="164" t="s">
        <v>36</v>
      </c>
      <c r="AF21" s="165" t="s">
        <v>37</v>
      </c>
      <c r="AH21" s="118"/>
      <c r="AI21" s="118"/>
      <c r="AJ21" s="118"/>
      <c r="AL21" s="118"/>
      <c r="AM21" s="118"/>
      <c r="AN21" s="118"/>
    </row>
    <row r="22" spans="1:40" s="93" customFormat="1" ht="39.950000000000003" customHeight="1" x14ac:dyDescent="0.25">
      <c r="A22" s="110">
        <v>4</v>
      </c>
      <c r="B22" s="139"/>
      <c r="C22" s="140" t="s">
        <v>49</v>
      </c>
      <c r="D22" s="140" t="s">
        <v>2291</v>
      </c>
      <c r="E22" s="141" t="s">
        <v>2292</v>
      </c>
      <c r="F22" s="142" t="str">
        <f>DATEDIF(R22,S22,"y") + DATEDIF(V22,W22,"y") + DATEDIF(X22,Y22,"y") + SUM(AH22) &amp; " años " &amp; DATEDIF(R22,S22,"ym") + DATEDIF(V22,W22,"ym") + DATEDIF(X22,Y22,"ym") + SUM(AI22) - SUM(AM22) &amp; " meses " &amp; DATEDIF(R22,S22,"md") + DATEDIF(V22,W22,"md") + DATEDIF(X22,Y22,"md") - SUM(AN22) &amp; " días"</f>
        <v>37 años 10 meses 1 días</v>
      </c>
      <c r="G22" s="143">
        <v>1</v>
      </c>
      <c r="H22" s="110" t="str">
        <f>DATEDIF(T22,S22,"y") &amp; " años " &amp; DATEDIF(T22,S22,"ym") &amp; " meses " &amp; DATEDIF(T22,S22,"md") &amp; " días"</f>
        <v>59 años 5 meses 19 días</v>
      </c>
      <c r="I22" s="110" t="str">
        <f>DATEDIF(U22,S22,"y") &amp; " años " &amp; DATEDIF(U22,S22,"ym") &amp; " meses " &amp; DATEDIF(U22,S22,"md") &amp; " días"</f>
        <v>8 años 2 meses 1 días</v>
      </c>
      <c r="J22" s="195"/>
      <c r="K22" s="196"/>
      <c r="L22" s="197"/>
      <c r="M22" s="144">
        <f>39234.82</f>
        <v>39234.82</v>
      </c>
      <c r="N22" s="115">
        <f>M22*G22</f>
        <v>39234.82</v>
      </c>
      <c r="O22" s="134"/>
      <c r="P22" s="134" t="s">
        <v>2288</v>
      </c>
      <c r="Q22" s="115" t="s">
        <v>336</v>
      </c>
      <c r="R22" s="145">
        <v>31594</v>
      </c>
      <c r="S22" s="146">
        <v>45414</v>
      </c>
      <c r="T22" s="145">
        <v>23694</v>
      </c>
      <c r="U22" s="145">
        <v>42430</v>
      </c>
      <c r="V22" s="116"/>
      <c r="W22" s="116"/>
      <c r="X22" s="116"/>
      <c r="Y22" s="116"/>
      <c r="Z22" s="52"/>
      <c r="AA22" s="52"/>
      <c r="AB22" s="52"/>
      <c r="AC22" s="117"/>
      <c r="AD22" s="118" t="s">
        <v>190</v>
      </c>
      <c r="AE22" s="164" t="s">
        <v>36</v>
      </c>
      <c r="AF22" s="165" t="s">
        <v>37</v>
      </c>
      <c r="AH22" s="118"/>
      <c r="AI22" s="118"/>
      <c r="AJ22" s="118"/>
      <c r="AL22" s="118"/>
      <c r="AM22" s="118"/>
      <c r="AN22" s="118"/>
    </row>
    <row r="23" spans="1:40" s="93" customFormat="1" ht="39.950000000000003" customHeight="1" x14ac:dyDescent="0.25">
      <c r="A23" s="110">
        <v>5</v>
      </c>
      <c r="B23" s="139"/>
      <c r="C23" s="140" t="s">
        <v>49</v>
      </c>
      <c r="D23" s="140" t="s">
        <v>2293</v>
      </c>
      <c r="E23" s="141" t="s">
        <v>2294</v>
      </c>
      <c r="F23" s="142" t="str">
        <f t="shared" ref="F23:F25" si="0">DATEDIF(R23,S23,"y") + DATEDIF(V23,W23,"y") + DATEDIF(X23,Y23,"y") + SUM(AH23) &amp; " años " &amp; DATEDIF(R23,S23,"ym") + DATEDIF(V23,W23,"ym") + DATEDIF(X23,Y23,"ym") + SUM(AI23) - SUM(AM23) &amp; " meses " &amp; DATEDIF(R23,S23,"md") + DATEDIF(V23,W23,"md") + DATEDIF(X23,Y23,"md") - SUM(AN23) &amp; " días"</f>
        <v>35 años 11 meses 17 días</v>
      </c>
      <c r="G23" s="143">
        <v>1</v>
      </c>
      <c r="H23" s="110" t="str">
        <f t="shared" ref="H23:H29" si="1">DATEDIF(T23,S23,"y") &amp; " años " &amp; DATEDIF(T23,S23,"ym") &amp; " meses " &amp; DATEDIF(T23,S23,"md") &amp; " días"</f>
        <v>56 años 0 meses 17 días</v>
      </c>
      <c r="I23" s="110" t="str">
        <f t="shared" ref="I23:I29" si="2">DATEDIF(U23,S23,"y") &amp; " años " &amp; DATEDIF(U23,S23,"ym") &amp; " meses " &amp; DATEDIF(U23,S23,"md") &amp; " días"</f>
        <v>5 años 2 meses 1 días</v>
      </c>
      <c r="J23" s="195"/>
      <c r="K23" s="196"/>
      <c r="L23" s="197"/>
      <c r="M23" s="144">
        <f>39234.82</f>
        <v>39234.82</v>
      </c>
      <c r="N23" s="115">
        <f t="shared" ref="N23:N29" si="3">M23*G23</f>
        <v>39234.82</v>
      </c>
      <c r="O23" s="134"/>
      <c r="P23" s="134" t="s">
        <v>2288</v>
      </c>
      <c r="Q23" s="115" t="s">
        <v>336</v>
      </c>
      <c r="R23" s="145">
        <v>32278</v>
      </c>
      <c r="S23" s="146">
        <v>45414</v>
      </c>
      <c r="T23" s="145">
        <v>24943</v>
      </c>
      <c r="U23" s="145">
        <v>43525</v>
      </c>
      <c r="V23" s="116"/>
      <c r="W23" s="116"/>
      <c r="X23" s="116"/>
      <c r="Y23" s="116"/>
      <c r="Z23" s="52"/>
      <c r="AA23" s="52"/>
      <c r="AB23" s="52"/>
      <c r="AC23" s="117"/>
      <c r="AD23" s="118" t="s">
        <v>190</v>
      </c>
      <c r="AE23" s="164" t="s">
        <v>36</v>
      </c>
      <c r="AF23" s="165" t="s">
        <v>37</v>
      </c>
      <c r="AH23" s="118"/>
      <c r="AI23" s="118"/>
      <c r="AJ23" s="118"/>
      <c r="AL23" s="118"/>
      <c r="AM23" s="118"/>
      <c r="AN23" s="118"/>
    </row>
    <row r="24" spans="1:40" s="93" customFormat="1" ht="39.950000000000003" customHeight="1" x14ac:dyDescent="0.25">
      <c r="A24" s="110">
        <v>6</v>
      </c>
      <c r="B24" s="139"/>
      <c r="C24" s="140" t="s">
        <v>49</v>
      </c>
      <c r="D24" s="140" t="s">
        <v>2295</v>
      </c>
      <c r="E24" s="141" t="s">
        <v>2296</v>
      </c>
      <c r="F24" s="142" t="str">
        <f t="shared" si="0"/>
        <v>37 años 1 meses 17 días</v>
      </c>
      <c r="G24" s="143">
        <v>1</v>
      </c>
      <c r="H24" s="110" t="str">
        <f t="shared" si="1"/>
        <v>56 años 4 meses 15 días</v>
      </c>
      <c r="I24" s="110" t="str">
        <f t="shared" si="2"/>
        <v>8 años 2 meses 1 días</v>
      </c>
      <c r="J24" s="195"/>
      <c r="K24" s="196"/>
      <c r="L24" s="197"/>
      <c r="M24" s="144">
        <f>39234.82</f>
        <v>39234.82</v>
      </c>
      <c r="N24" s="115">
        <f t="shared" si="3"/>
        <v>39234.82</v>
      </c>
      <c r="O24" s="134"/>
      <c r="P24" s="134" t="s">
        <v>2288</v>
      </c>
      <c r="Q24" s="115" t="s">
        <v>336</v>
      </c>
      <c r="R24" s="145">
        <v>31851</v>
      </c>
      <c r="S24" s="146">
        <v>45414</v>
      </c>
      <c r="T24" s="145">
        <v>24823</v>
      </c>
      <c r="U24" s="145">
        <v>42430</v>
      </c>
      <c r="V24" s="116"/>
      <c r="W24" s="116"/>
      <c r="X24" s="116"/>
      <c r="Y24" s="116"/>
      <c r="Z24" s="52"/>
      <c r="AA24" s="52"/>
      <c r="AB24" s="52"/>
      <c r="AC24" s="117"/>
      <c r="AD24" s="118" t="s">
        <v>1032</v>
      </c>
      <c r="AE24" s="164" t="s">
        <v>36</v>
      </c>
      <c r="AF24" s="165" t="s">
        <v>37</v>
      </c>
      <c r="AH24" s="118"/>
      <c r="AI24" s="118"/>
      <c r="AJ24" s="118"/>
      <c r="AL24" s="118"/>
      <c r="AM24" s="118"/>
      <c r="AN24" s="118"/>
    </row>
    <row r="25" spans="1:40" s="93" customFormat="1" ht="39.950000000000003" customHeight="1" x14ac:dyDescent="0.25">
      <c r="A25" s="110">
        <v>7</v>
      </c>
      <c r="B25" s="139"/>
      <c r="C25" s="140" t="s">
        <v>49</v>
      </c>
      <c r="D25" s="140" t="s">
        <v>2297</v>
      </c>
      <c r="E25" s="141" t="s">
        <v>2298</v>
      </c>
      <c r="F25" s="142" t="str">
        <f t="shared" si="0"/>
        <v>36 años 0 meses 1 días</v>
      </c>
      <c r="G25" s="143">
        <v>1</v>
      </c>
      <c r="H25" s="110" t="str">
        <f t="shared" si="1"/>
        <v>52 años 3 meses 4 días</v>
      </c>
      <c r="I25" s="110" t="str">
        <f t="shared" si="2"/>
        <v>3 años 2 meses 5 días</v>
      </c>
      <c r="J25" s="195"/>
      <c r="K25" s="196"/>
      <c r="L25" s="197"/>
      <c r="M25" s="144">
        <v>35615.53</v>
      </c>
      <c r="N25" s="115">
        <f t="shared" si="3"/>
        <v>35615.53</v>
      </c>
      <c r="O25" s="134"/>
      <c r="P25" s="134" t="s">
        <v>2288</v>
      </c>
      <c r="Q25" s="115" t="s">
        <v>336</v>
      </c>
      <c r="R25" s="145">
        <v>32264</v>
      </c>
      <c r="S25" s="146">
        <v>45414</v>
      </c>
      <c r="T25" s="145">
        <v>26326</v>
      </c>
      <c r="U25" s="145">
        <v>44254</v>
      </c>
      <c r="V25" s="116"/>
      <c r="W25" s="116"/>
      <c r="X25" s="116"/>
      <c r="Y25" s="116"/>
      <c r="Z25" s="52"/>
      <c r="AA25" s="52"/>
      <c r="AB25" s="52"/>
      <c r="AC25" s="117"/>
      <c r="AD25" s="118" t="s">
        <v>35</v>
      </c>
      <c r="AE25" s="164" t="s">
        <v>36</v>
      </c>
      <c r="AF25" s="165" t="s">
        <v>37</v>
      </c>
      <c r="AH25" s="118"/>
      <c r="AI25" s="118"/>
      <c r="AJ25" s="118"/>
      <c r="AL25" s="118"/>
      <c r="AM25" s="118"/>
      <c r="AN25" s="118"/>
    </row>
    <row r="26" spans="1:40" s="93" customFormat="1" ht="39.950000000000003" customHeight="1" x14ac:dyDescent="0.25">
      <c r="A26" s="110">
        <v>8</v>
      </c>
      <c r="B26" s="139"/>
      <c r="C26" s="140" t="s">
        <v>49</v>
      </c>
      <c r="D26" s="140" t="s">
        <v>2299</v>
      </c>
      <c r="E26" s="141" t="s">
        <v>2300</v>
      </c>
      <c r="F26" s="142" t="str">
        <f t="shared" ref="F26:F29" si="4">DATEDIF(R26,S26,"y") + DATEDIF(V26,W26,"y") + DATEDIF(X26,Y26,"y") + SUM(AH26) &amp; " años " &amp; DATEDIF(R26,S26,"ym") + DATEDIF(V26,W26,"ym") + DATEDIF(X26,Y26,"ym") + SUM(AI26) - SUM(AM26) &amp; " meses " &amp; DATEDIF(R26,S26,"md") + DATEDIF(V26,W26,"md") + DATEDIF(X26,Y26,"md") - SUM(AN26) &amp; " días"</f>
        <v>36 años 4 meses 1 días</v>
      </c>
      <c r="G26" s="143">
        <v>1</v>
      </c>
      <c r="H26" s="110" t="str">
        <f t="shared" si="1"/>
        <v>58 años 7 meses 26 días</v>
      </c>
      <c r="I26" s="110" t="str">
        <f t="shared" si="2"/>
        <v>8 años 2 meses 1 días</v>
      </c>
      <c r="J26" s="195"/>
      <c r="K26" s="196"/>
      <c r="L26" s="197"/>
      <c r="M26" s="144">
        <f>39234.82+14000</f>
        <v>53234.82</v>
      </c>
      <c r="N26" s="115">
        <f t="shared" si="3"/>
        <v>53234.82</v>
      </c>
      <c r="O26" s="134"/>
      <c r="P26" s="134" t="s">
        <v>2288</v>
      </c>
      <c r="Q26" s="115" t="s">
        <v>336</v>
      </c>
      <c r="R26" s="145">
        <v>33604</v>
      </c>
      <c r="S26" s="146">
        <v>45414</v>
      </c>
      <c r="T26" s="145">
        <v>23991</v>
      </c>
      <c r="U26" s="145">
        <v>42430</v>
      </c>
      <c r="V26" s="116">
        <v>32143</v>
      </c>
      <c r="W26" s="116">
        <v>33603</v>
      </c>
      <c r="X26" s="116"/>
      <c r="Y26" s="116"/>
      <c r="Z26" s="52"/>
      <c r="AA26" s="52"/>
      <c r="AB26" s="52"/>
      <c r="AC26" s="117"/>
      <c r="AD26" s="118" t="s">
        <v>134</v>
      </c>
      <c r="AE26" s="164" t="s">
        <v>36</v>
      </c>
      <c r="AF26" s="165" t="s">
        <v>37</v>
      </c>
      <c r="AH26" s="118">
        <v>1</v>
      </c>
      <c r="AI26" s="118">
        <v>1</v>
      </c>
      <c r="AJ26" s="118"/>
      <c r="AL26" s="118"/>
      <c r="AM26" s="118">
        <v>12</v>
      </c>
      <c r="AN26" s="118">
        <v>30</v>
      </c>
    </row>
    <row r="27" spans="1:40" s="93" customFormat="1" ht="39.950000000000003" customHeight="1" x14ac:dyDescent="0.25">
      <c r="A27" s="110">
        <v>9</v>
      </c>
      <c r="B27" s="139"/>
      <c r="C27" s="140" t="s">
        <v>49</v>
      </c>
      <c r="D27" s="140" t="s">
        <v>2301</v>
      </c>
      <c r="E27" s="141" t="s">
        <v>2302</v>
      </c>
      <c r="F27" s="142" t="str">
        <f t="shared" si="4"/>
        <v>36 años 8 meses 17 días</v>
      </c>
      <c r="G27" s="143">
        <v>1</v>
      </c>
      <c r="H27" s="110" t="str">
        <f t="shared" si="1"/>
        <v>62 años 0 meses 15 días</v>
      </c>
      <c r="I27" s="110" t="str">
        <f t="shared" si="2"/>
        <v>8 años 2 meses 1 días</v>
      </c>
      <c r="J27" s="195"/>
      <c r="K27" s="196"/>
      <c r="L27" s="197"/>
      <c r="M27" s="144">
        <f>39234.82</f>
        <v>39234.82</v>
      </c>
      <c r="N27" s="115">
        <f t="shared" si="3"/>
        <v>39234.82</v>
      </c>
      <c r="O27" s="134"/>
      <c r="P27" s="134" t="s">
        <v>2288</v>
      </c>
      <c r="Q27" s="115" t="s">
        <v>336</v>
      </c>
      <c r="R27" s="145">
        <v>32004</v>
      </c>
      <c r="S27" s="146">
        <v>45414</v>
      </c>
      <c r="T27" s="145">
        <v>22753</v>
      </c>
      <c r="U27" s="145">
        <v>42430</v>
      </c>
      <c r="V27" s="116"/>
      <c r="W27" s="116"/>
      <c r="X27" s="116"/>
      <c r="Y27" s="116"/>
      <c r="Z27" s="52"/>
      <c r="AA27" s="52"/>
      <c r="AB27" s="52"/>
      <c r="AC27" s="117"/>
      <c r="AD27" s="118" t="s">
        <v>1032</v>
      </c>
      <c r="AE27" s="164" t="s">
        <v>36</v>
      </c>
      <c r="AF27" s="165" t="s">
        <v>37</v>
      </c>
      <c r="AH27" s="118"/>
      <c r="AI27" s="118"/>
      <c r="AJ27" s="118"/>
      <c r="AL27" s="118"/>
      <c r="AM27" s="118"/>
      <c r="AN27" s="118"/>
    </row>
    <row r="28" spans="1:40" s="93" customFormat="1" ht="39.950000000000003" customHeight="1" x14ac:dyDescent="0.25">
      <c r="A28" s="110">
        <v>10</v>
      </c>
      <c r="B28" s="139"/>
      <c r="C28" s="140" t="s">
        <v>49</v>
      </c>
      <c r="D28" s="140" t="s">
        <v>2303</v>
      </c>
      <c r="E28" s="141" t="s">
        <v>2304</v>
      </c>
      <c r="F28" s="142" t="str">
        <f t="shared" si="4"/>
        <v>30 años 1 meses 4 días</v>
      </c>
      <c r="G28" s="143">
        <v>0.85</v>
      </c>
      <c r="H28" s="110" t="str">
        <f t="shared" si="1"/>
        <v>54 años 1 meses 10 días</v>
      </c>
      <c r="I28" s="110" t="str">
        <f t="shared" si="2"/>
        <v>12 años 8 meses 16 días</v>
      </c>
      <c r="J28" s="195" t="s">
        <v>13</v>
      </c>
      <c r="K28" s="196"/>
      <c r="L28" s="197"/>
      <c r="M28" s="144">
        <f>39234.82+14000</f>
        <v>53234.82</v>
      </c>
      <c r="N28" s="115">
        <f t="shared" si="3"/>
        <v>45249.597000000002</v>
      </c>
      <c r="O28" s="134"/>
      <c r="P28" s="134" t="s">
        <v>2288</v>
      </c>
      <c r="Q28" s="115" t="s">
        <v>336</v>
      </c>
      <c r="R28" s="145">
        <v>34421</v>
      </c>
      <c r="S28" s="146">
        <v>45414</v>
      </c>
      <c r="T28" s="145">
        <v>25649</v>
      </c>
      <c r="U28" s="145">
        <v>40771</v>
      </c>
      <c r="V28" s="116"/>
      <c r="W28" s="116"/>
      <c r="X28" s="116"/>
      <c r="Y28" s="116"/>
      <c r="Z28" s="52"/>
      <c r="AA28" s="52"/>
      <c r="AB28" s="52"/>
      <c r="AC28" s="117"/>
      <c r="AD28" s="118" t="s">
        <v>1032</v>
      </c>
      <c r="AE28" s="164" t="s">
        <v>36</v>
      </c>
      <c r="AF28" s="165" t="s">
        <v>37</v>
      </c>
      <c r="AH28" s="118"/>
      <c r="AI28" s="118"/>
      <c r="AJ28" s="118"/>
      <c r="AL28" s="118"/>
      <c r="AM28" s="118"/>
      <c r="AN28" s="118"/>
    </row>
    <row r="29" spans="1:40" s="93" customFormat="1" ht="39.950000000000003" customHeight="1" x14ac:dyDescent="0.25">
      <c r="A29" s="110">
        <v>11</v>
      </c>
      <c r="B29" s="139"/>
      <c r="C29" s="140" t="s">
        <v>49</v>
      </c>
      <c r="D29" s="140" t="s">
        <v>2305</v>
      </c>
      <c r="E29" s="141" t="s">
        <v>2306</v>
      </c>
      <c r="F29" s="142" t="str">
        <f t="shared" si="4"/>
        <v>38 años 3 meses 1 días</v>
      </c>
      <c r="G29" s="143">
        <v>1</v>
      </c>
      <c r="H29" s="110" t="str">
        <f t="shared" si="1"/>
        <v>58 años 7 meses 29 días</v>
      </c>
      <c r="I29" s="110" t="str">
        <f t="shared" si="2"/>
        <v>1 años 2 meses 5 días</v>
      </c>
      <c r="J29" s="195"/>
      <c r="K29" s="196"/>
      <c r="L29" s="197"/>
      <c r="M29" s="144">
        <v>35615.53</v>
      </c>
      <c r="N29" s="115">
        <f t="shared" si="3"/>
        <v>35615.53</v>
      </c>
      <c r="O29" s="134"/>
      <c r="P29" s="134" t="s">
        <v>2288</v>
      </c>
      <c r="Q29" s="115" t="s">
        <v>336</v>
      </c>
      <c r="R29" s="145">
        <v>31444</v>
      </c>
      <c r="S29" s="146">
        <v>45414</v>
      </c>
      <c r="T29" s="145">
        <v>23988</v>
      </c>
      <c r="U29" s="145">
        <v>44984</v>
      </c>
      <c r="V29" s="116"/>
      <c r="W29" s="116"/>
      <c r="X29" s="116"/>
      <c r="Y29" s="116"/>
      <c r="Z29" s="52"/>
      <c r="AA29" s="52"/>
      <c r="AB29" s="52"/>
      <c r="AC29" s="117"/>
      <c r="AD29" s="118" t="s">
        <v>129</v>
      </c>
      <c r="AE29" s="164" t="s">
        <v>36</v>
      </c>
      <c r="AF29" s="165" t="s">
        <v>37</v>
      </c>
      <c r="AH29" s="118"/>
      <c r="AI29" s="118"/>
      <c r="AJ29" s="118"/>
      <c r="AL29" s="118"/>
      <c r="AM29" s="118"/>
      <c r="AN29" s="118"/>
    </row>
    <row r="30" spans="1:40" s="93" customFormat="1" ht="39.950000000000003" customHeight="1" x14ac:dyDescent="0.25">
      <c r="A30" s="110">
        <v>12</v>
      </c>
      <c r="B30" s="139"/>
      <c r="C30" s="140" t="s">
        <v>49</v>
      </c>
      <c r="D30" s="140" t="s">
        <v>2307</v>
      </c>
      <c r="E30" s="141" t="s">
        <v>2308</v>
      </c>
      <c r="F30" s="142" t="str">
        <f>DATEDIF(R30,S30,"y") + DATEDIF(V30,W30,"y") + DATEDIF(X30,Y30,"y") + SUM(AH30) &amp; " años " &amp; DATEDIF(R30,S30,"ym") + DATEDIF(V30,W30,"ym") + DATEDIF(X30,Y30,"ym") + SUM(AI30) - SUM(AM30) &amp; " meses " &amp; DATEDIF(R30,S30,"md") + DATEDIF(V30,W30,"md") + DATEDIF(X30,Y30,"md") - SUM(AN30) &amp; " días"</f>
        <v>31 años 10 meses 1 días</v>
      </c>
      <c r="G30" s="143">
        <v>0.91</v>
      </c>
      <c r="H30" s="110" t="str">
        <f>DATEDIF(T30,S30,"y") &amp; " años " &amp; DATEDIF(T30,S30,"ym") &amp; " meses " &amp; DATEDIF(T30,S30,"md") &amp; " días"</f>
        <v>49 años 0 meses 2 días</v>
      </c>
      <c r="I30" s="110" t="str">
        <f>DATEDIF(U30,S30,"y") &amp; " años " &amp; DATEDIF(U30,S30,"ym") &amp; " meses " &amp; DATEDIF(U30,S30,"md") &amp; " días"</f>
        <v>3 años 2 meses 5 días</v>
      </c>
      <c r="J30" s="195"/>
      <c r="K30" s="196"/>
      <c r="L30" s="197"/>
      <c r="M30" s="144">
        <v>35615.53</v>
      </c>
      <c r="N30" s="115">
        <f>M30*G30</f>
        <v>32410.132300000001</v>
      </c>
      <c r="O30" s="134"/>
      <c r="P30" s="134" t="s">
        <v>2288</v>
      </c>
      <c r="Q30" s="115" t="s">
        <v>336</v>
      </c>
      <c r="R30" s="145">
        <v>33786</v>
      </c>
      <c r="S30" s="146">
        <v>45414</v>
      </c>
      <c r="T30" s="145">
        <v>27514</v>
      </c>
      <c r="U30" s="145">
        <v>44254</v>
      </c>
      <c r="V30" s="116"/>
      <c r="W30" s="116"/>
      <c r="X30" s="116"/>
      <c r="Y30" s="116"/>
      <c r="Z30" s="52"/>
      <c r="AA30" s="52"/>
      <c r="AB30" s="52"/>
      <c r="AC30" s="117"/>
      <c r="AD30" s="118" t="s">
        <v>190</v>
      </c>
      <c r="AE30" s="164" t="s">
        <v>36</v>
      </c>
      <c r="AF30" s="165" t="s">
        <v>37</v>
      </c>
      <c r="AH30" s="118"/>
      <c r="AI30" s="118"/>
      <c r="AJ30" s="118"/>
      <c r="AL30" s="118"/>
      <c r="AM30" s="118"/>
      <c r="AN30" s="118"/>
    </row>
    <row r="31" spans="1:40" s="93" customFormat="1" ht="39.950000000000003" customHeight="1" x14ac:dyDescent="0.25">
      <c r="A31" s="110">
        <v>13</v>
      </c>
      <c r="B31" s="110"/>
      <c r="C31" s="148" t="s">
        <v>49</v>
      </c>
      <c r="D31" s="140" t="s">
        <v>2309</v>
      </c>
      <c r="E31" s="141" t="s">
        <v>2310</v>
      </c>
      <c r="F31" s="142" t="str">
        <f>DATEDIF(R31,S31,"y") + DATEDIF(V31,W31,"y") + DATEDIF(X31,Y31,"y") + SUM(AH31) &amp; " años " &amp; DATEDIF(R31,S31,"ym") + DATEDIF(V31,W31,"ym") + DATEDIF(X31,Y31,"ym") + SUM(AI31) - SUM(AM31) &amp; " meses " &amp; DATEDIF(R31,S31,"md") + DATEDIF(V31,W31,"md") + DATEDIF(X31,Y31,"md") - SUM(AN31) &amp; " días"</f>
        <v>26 años 9 meses 1 días</v>
      </c>
      <c r="G31" s="143">
        <v>1</v>
      </c>
      <c r="H31" s="110" t="str">
        <f>DATEDIF(T31,S31,"y") &amp; " años " &amp; DATEDIF(T31,S31,"ym") &amp; " meses " &amp; DATEDIF(T31,S31,"md") &amp; " días"</f>
        <v>61 años 5 meses 26 días</v>
      </c>
      <c r="I31" s="110" t="str">
        <f>DATEDIF(U31,S31,"y") &amp; " años " &amp; DATEDIF(U31,S31,"ym") &amp; " meses " &amp; DATEDIF(U31,S31,"md") &amp; " días"</f>
        <v>6 años 2 meses 5 días</v>
      </c>
      <c r="J31" s="195"/>
      <c r="K31" s="196"/>
      <c r="L31" s="197"/>
      <c r="M31" s="115">
        <v>39234.82</v>
      </c>
      <c r="N31" s="115">
        <f>M31*G31</f>
        <v>39234.82</v>
      </c>
      <c r="O31" s="134" t="s">
        <v>2311</v>
      </c>
      <c r="P31" s="134" t="s">
        <v>33</v>
      </c>
      <c r="Q31" s="115" t="s">
        <v>337</v>
      </c>
      <c r="R31" s="145">
        <v>36960</v>
      </c>
      <c r="S31" s="146">
        <v>45414</v>
      </c>
      <c r="T31" s="145">
        <v>22956</v>
      </c>
      <c r="U31" s="145">
        <v>43158</v>
      </c>
      <c r="V31" s="116">
        <v>30376</v>
      </c>
      <c r="W31" s="116">
        <v>31695</v>
      </c>
      <c r="X31" s="116"/>
      <c r="Y31" s="116"/>
      <c r="Z31"/>
      <c r="AA31"/>
      <c r="AB31"/>
      <c r="AC31" s="117"/>
      <c r="AD31" s="118" t="s">
        <v>35</v>
      </c>
      <c r="AE31" s="164" t="s">
        <v>36</v>
      </c>
      <c r="AF31" s="165" t="s">
        <v>37</v>
      </c>
      <c r="AH31" s="118"/>
      <c r="AI31" s="118">
        <v>1</v>
      </c>
      <c r="AJ31" s="118"/>
      <c r="AL31" s="118"/>
      <c r="AM31" s="118"/>
      <c r="AN31" s="118">
        <v>30</v>
      </c>
    </row>
    <row r="32" spans="1:40" s="93" customFormat="1" ht="39.950000000000003" customHeight="1" x14ac:dyDescent="0.25">
      <c r="A32" s="110">
        <v>14</v>
      </c>
      <c r="B32" s="110"/>
      <c r="C32" s="140" t="s">
        <v>258</v>
      </c>
      <c r="D32" s="140" t="s">
        <v>2312</v>
      </c>
      <c r="E32" s="150" t="s">
        <v>2313</v>
      </c>
      <c r="F32" s="142" t="str">
        <f t="shared" ref="F32" si="5">DATEDIF(R32,S32,"y") + DATEDIF(V32,W32,"y") + DATEDIF(X32,Y32,"y") + SUM(AH32) &amp; " años " &amp; DATEDIF(R32,S32,"ym") + DATEDIF(V32,W32,"ym") + DATEDIF(X32,Y32,"ym") + SUM(AI32) - SUM(AM32) &amp; " meses " &amp; DATEDIF(R32,S32,"md") + DATEDIF(V32,W32,"md") + DATEDIF(X32,Y32,"md") - SUM(AN32) &amp; " días"</f>
        <v>24 años 0 meses 5 días</v>
      </c>
      <c r="G32" s="149">
        <v>0.7</v>
      </c>
      <c r="H32" s="110" t="str">
        <f t="shared" ref="H32:H33" si="6">DATEDIF(T32,S32,"y") &amp; " años " &amp; DATEDIF(T32,S32,"ym") &amp; " meses " &amp; DATEDIF(T32,S32,"md") &amp; " días"</f>
        <v>44 años 0 meses 25 días</v>
      </c>
      <c r="I32" s="110" t="str">
        <f t="shared" ref="I32:I33" si="7">DATEDIF(U32,S32,"y") &amp; " años " &amp; DATEDIF(U32,S32,"ym") &amp; " meses " &amp; DATEDIF(U32,S32,"md") &amp; " días"</f>
        <v>3 años 10 meses 20 días</v>
      </c>
      <c r="J32" s="195"/>
      <c r="K32" s="196"/>
      <c r="L32" s="197"/>
      <c r="M32" s="151">
        <f>29343.32+12000</f>
        <v>41343.32</v>
      </c>
      <c r="N32" s="115">
        <f>M32*G32</f>
        <v>28940.323999999997</v>
      </c>
      <c r="O32" s="134" t="s">
        <v>2285</v>
      </c>
      <c r="P32" s="134" t="s">
        <v>33</v>
      </c>
      <c r="Q32" s="115" t="s">
        <v>338</v>
      </c>
      <c r="R32" s="146">
        <v>36536</v>
      </c>
      <c r="S32" s="146">
        <v>45307</v>
      </c>
      <c r="T32" s="146">
        <v>29211</v>
      </c>
      <c r="U32" s="146">
        <v>43888</v>
      </c>
      <c r="V32" s="116"/>
      <c r="W32" s="116"/>
      <c r="X32" s="116"/>
      <c r="Y32" s="116"/>
      <c r="Z32" s="52"/>
      <c r="AA32" s="52"/>
      <c r="AB32" s="52"/>
      <c r="AC32" s="117"/>
      <c r="AD32" s="118" t="s">
        <v>35</v>
      </c>
      <c r="AE32" s="164" t="s">
        <v>36</v>
      </c>
      <c r="AF32" s="165" t="s">
        <v>37</v>
      </c>
      <c r="AH32" s="118"/>
      <c r="AI32" s="118"/>
      <c r="AJ32" s="118"/>
      <c r="AL32" s="118"/>
      <c r="AM32" s="118"/>
      <c r="AN32" s="118"/>
    </row>
    <row r="33" spans="1:40" s="93" customFormat="1" ht="39.950000000000003" customHeight="1" x14ac:dyDescent="0.25">
      <c r="A33" s="110">
        <v>15</v>
      </c>
      <c r="B33" s="110"/>
      <c r="C33" s="140" t="s">
        <v>258</v>
      </c>
      <c r="D33" s="140" t="s">
        <v>2314</v>
      </c>
      <c r="E33" s="150" t="s">
        <v>2315</v>
      </c>
      <c r="F33" s="142" t="str">
        <f t="shared" ref="F33" si="8">DATEDIF(R33,S33,"y") + DATEDIF(V33,W33,"y") + DATEDIF(X33,Y33,"y") + SUM(AH33) &amp; " años " &amp; DATEDIF(R33,S33,"ym") + DATEDIF(V33,W33,"ym") + DATEDIF(X33,Y33,"ym") + SUM(AI33) - SUM(AM33) &amp; " meses " &amp; DATEDIF(R33,S33,"md") + DATEDIF(V33,W33,"md") + DATEDIF(X33,Y33,"md") - SUM(AN33) &amp; " días"</f>
        <v>21 años 6 meses 30 días</v>
      </c>
      <c r="G33" s="149">
        <v>0.65</v>
      </c>
      <c r="H33" s="110" t="str">
        <f t="shared" si="6"/>
        <v>43 años 2 meses 12 días</v>
      </c>
      <c r="I33" s="110" t="str">
        <f t="shared" si="7"/>
        <v>1 años 11 meses 13 días</v>
      </c>
      <c r="J33" s="195"/>
      <c r="K33" s="196"/>
      <c r="L33" s="197"/>
      <c r="M33" s="151">
        <v>22425</v>
      </c>
      <c r="N33" s="115">
        <f>M33*G33</f>
        <v>14576.25</v>
      </c>
      <c r="O33" s="134" t="s">
        <v>2285</v>
      </c>
      <c r="P33" s="134" t="s">
        <v>33</v>
      </c>
      <c r="Q33" s="115" t="s">
        <v>338</v>
      </c>
      <c r="R33" s="146">
        <v>39479</v>
      </c>
      <c r="S33" s="146">
        <v>43145</v>
      </c>
      <c r="T33" s="146">
        <v>27365</v>
      </c>
      <c r="U33" s="146">
        <v>42430</v>
      </c>
      <c r="V33" s="116">
        <v>34151</v>
      </c>
      <c r="W33" s="116">
        <v>38370</v>
      </c>
      <c r="X33" s="116"/>
      <c r="Y33" s="116"/>
      <c r="Z33" s="52"/>
      <c r="AA33" s="52"/>
      <c r="AB33" s="52"/>
      <c r="AC33" s="117"/>
      <c r="AD33" s="118" t="s">
        <v>1032</v>
      </c>
      <c r="AE33" s="164" t="s">
        <v>36</v>
      </c>
      <c r="AF33" s="165" t="s">
        <v>37</v>
      </c>
      <c r="AH33" s="118"/>
      <c r="AI33" s="118"/>
      <c r="AJ33" s="118"/>
      <c r="AL33" s="118"/>
      <c r="AM33" s="118"/>
      <c r="AN33" s="118"/>
    </row>
    <row r="34" spans="1:40" s="93" customFormat="1" ht="39.950000000000003" customHeight="1" x14ac:dyDescent="0.25">
      <c r="A34" s="110">
        <v>16</v>
      </c>
      <c r="B34" s="110"/>
      <c r="C34" s="140" t="s">
        <v>410</v>
      </c>
      <c r="D34" s="140" t="s">
        <v>2316</v>
      </c>
      <c r="E34" s="141" t="s">
        <v>2317</v>
      </c>
      <c r="F34" s="142" t="str">
        <f>DATEDIF(R34,S34,"y") + DATEDIF(V34,W34,"y") + DATEDIF(X34,Y34,"y") + SUM(AH34) &amp; " años " &amp; DATEDIF(R34,S34,"ym") + DATEDIF(V34,W34,"ym") + DATEDIF(X34,Y34,"ym") + SUM(AI34) - SUM(AM34) &amp; " meses " &amp; DATEDIF(R34,S34,"md") + DATEDIF(V34,W34,"md") + DATEDIF(X34,Y34,"md") - SUM(AN34) &amp; " días"</f>
        <v>20 años 1 meses 8 días</v>
      </c>
      <c r="G34" s="143">
        <v>0.6</v>
      </c>
      <c r="H34" s="110" t="str">
        <f>DATEDIF(T34,S34,"y") &amp; " años " &amp; DATEDIF(T34,S34,"ym") &amp; " meses " &amp; DATEDIF(T34,S34,"md") &amp; " días"</f>
        <v>54 años 4 meses 14 días</v>
      </c>
      <c r="I34" s="110" t="str">
        <f>DATEDIF(U34,S34,"y") &amp; " años " &amp; DATEDIF(U34,S34,"ym") &amp; " meses " &amp; DATEDIF(U34,S34,"md") &amp; " días"</f>
        <v>3 años 2 meses 5 días</v>
      </c>
      <c r="J34" s="195"/>
      <c r="K34" s="196"/>
      <c r="L34" s="197"/>
      <c r="M34" s="144">
        <v>34575.769999999997</v>
      </c>
      <c r="N34" s="115">
        <f>M34*G34</f>
        <v>20745.461999999996</v>
      </c>
      <c r="O34" s="134"/>
      <c r="P34" s="134" t="s">
        <v>2288</v>
      </c>
      <c r="Q34" s="115" t="s">
        <v>336</v>
      </c>
      <c r="R34" s="145">
        <v>38070</v>
      </c>
      <c r="S34" s="146">
        <v>45414</v>
      </c>
      <c r="T34" s="145">
        <v>25555</v>
      </c>
      <c r="U34" s="145">
        <v>44254</v>
      </c>
      <c r="V34" s="116"/>
      <c r="W34" s="116"/>
      <c r="X34" s="116"/>
      <c r="Y34" s="116"/>
      <c r="Z34" s="52"/>
      <c r="AA34" s="52"/>
      <c r="AB34" s="52"/>
      <c r="AC34" s="117"/>
      <c r="AD34" s="118" t="s">
        <v>35</v>
      </c>
      <c r="AE34" s="164" t="s">
        <v>36</v>
      </c>
      <c r="AF34" s="165" t="s">
        <v>37</v>
      </c>
      <c r="AH34" s="118"/>
      <c r="AI34" s="118"/>
      <c r="AJ34" s="118"/>
      <c r="AL34" s="118"/>
      <c r="AM34" s="118"/>
      <c r="AN34" s="118"/>
    </row>
    <row r="35" spans="1:40" s="93" customFormat="1" ht="39.950000000000003" customHeight="1" x14ac:dyDescent="0.25">
      <c r="A35" s="110">
        <v>17</v>
      </c>
      <c r="B35" s="110"/>
      <c r="C35" s="140" t="s">
        <v>410</v>
      </c>
      <c r="D35" s="140" t="s">
        <v>2318</v>
      </c>
      <c r="E35" s="141" t="s">
        <v>2319</v>
      </c>
      <c r="F35" s="142" t="str">
        <f t="shared" ref="F35:F39" si="9">DATEDIF(R35,S35,"y") + DATEDIF(V35,W35,"y") + DATEDIF(X35,Y35,"y") + SUM(AH35) &amp; " años " &amp; DATEDIF(R35,S35,"ym") + DATEDIF(V35,W35,"ym") + DATEDIF(X35,Y35,"ym") + SUM(AI35) - SUM(AM35) &amp; " meses " &amp; DATEDIF(R35,S35,"md") + DATEDIF(V35,W35,"md") + DATEDIF(X35,Y35,"md") - SUM(AN35) &amp; " días"</f>
        <v>35 años 1 meses 9 días</v>
      </c>
      <c r="G35" s="143">
        <v>1</v>
      </c>
      <c r="H35" s="110" t="str">
        <f t="shared" ref="H35:H39" si="10">DATEDIF(T35,S35,"y") &amp; " años " &amp; DATEDIF(T35,S35,"ym") &amp; " meses " &amp; DATEDIF(T35,S35,"md") &amp; " días"</f>
        <v>52 años 2 meses 20 días</v>
      </c>
      <c r="I35" s="110" t="str">
        <f t="shared" ref="I35:I39" si="11">DATEDIF(U35,S35,"y") &amp; " años " &amp; DATEDIF(U35,S35,"ym") &amp; " meses " &amp; DATEDIF(U35,S35,"md") &amp; " días"</f>
        <v>6 años 2 meses 5 días</v>
      </c>
      <c r="J35" s="195"/>
      <c r="K35" s="196"/>
      <c r="L35" s="197"/>
      <c r="M35" s="144">
        <f>35615.53+12000</f>
        <v>47615.53</v>
      </c>
      <c r="N35" s="115">
        <f t="shared" ref="N35:N39" si="12">M35*G35</f>
        <v>47615.53</v>
      </c>
      <c r="O35" s="134"/>
      <c r="P35" s="134" t="s">
        <v>2288</v>
      </c>
      <c r="Q35" s="115" t="s">
        <v>336</v>
      </c>
      <c r="R35" s="145">
        <v>32590</v>
      </c>
      <c r="S35" s="146">
        <v>45414</v>
      </c>
      <c r="T35" s="145">
        <v>26341</v>
      </c>
      <c r="U35" s="145">
        <v>43158</v>
      </c>
      <c r="V35" s="116"/>
      <c r="W35" s="116"/>
      <c r="X35" s="116"/>
      <c r="Y35" s="116"/>
      <c r="Z35" s="52"/>
      <c r="AA35" s="52"/>
      <c r="AB35" s="52"/>
      <c r="AC35" s="117"/>
      <c r="AD35" s="118" t="s">
        <v>1032</v>
      </c>
      <c r="AE35" s="164" t="s">
        <v>36</v>
      </c>
      <c r="AF35" s="165" t="s">
        <v>37</v>
      </c>
      <c r="AH35" s="118"/>
      <c r="AI35" s="118"/>
      <c r="AJ35" s="118"/>
      <c r="AL35" s="118"/>
      <c r="AM35" s="118"/>
      <c r="AN35" s="118"/>
    </row>
    <row r="36" spans="1:40" s="93" customFormat="1" ht="39.950000000000003" customHeight="1" x14ac:dyDescent="0.25">
      <c r="A36" s="110">
        <v>18</v>
      </c>
      <c r="B36" s="110"/>
      <c r="C36" s="140" t="s">
        <v>410</v>
      </c>
      <c r="D36" s="140" t="s">
        <v>2320</v>
      </c>
      <c r="E36" s="141" t="s">
        <v>2321</v>
      </c>
      <c r="F36" s="142" t="str">
        <f t="shared" si="9"/>
        <v>35 años 1 meses 4 días</v>
      </c>
      <c r="G36" s="143">
        <v>1</v>
      </c>
      <c r="H36" s="110" t="str">
        <f t="shared" si="10"/>
        <v>54 años 8 meses 11 días</v>
      </c>
      <c r="I36" s="110" t="str">
        <f t="shared" si="11"/>
        <v>8 años 2 meses 1 días</v>
      </c>
      <c r="J36" s="195"/>
      <c r="K36" s="196"/>
      <c r="L36" s="197"/>
      <c r="M36" s="144">
        <f>35615.53</f>
        <v>35615.53</v>
      </c>
      <c r="N36" s="115">
        <f t="shared" si="12"/>
        <v>35615.53</v>
      </c>
      <c r="O36" s="134"/>
      <c r="P36" s="134" t="s">
        <v>2288</v>
      </c>
      <c r="Q36" s="115" t="s">
        <v>336</v>
      </c>
      <c r="R36" s="145">
        <v>32595</v>
      </c>
      <c r="S36" s="146">
        <v>45414</v>
      </c>
      <c r="T36" s="145">
        <v>25436</v>
      </c>
      <c r="U36" s="145">
        <v>42430</v>
      </c>
      <c r="V36" s="116"/>
      <c r="W36" s="116"/>
      <c r="X36" s="116"/>
      <c r="Y36" s="116"/>
      <c r="Z36" s="52"/>
      <c r="AA36" s="52"/>
      <c r="AB36" s="52"/>
      <c r="AC36" s="117"/>
      <c r="AD36" s="118" t="s">
        <v>35</v>
      </c>
      <c r="AE36" s="164" t="s">
        <v>36</v>
      </c>
      <c r="AF36" s="165" t="s">
        <v>37</v>
      </c>
      <c r="AH36" s="118"/>
      <c r="AI36" s="118"/>
      <c r="AJ36" s="118"/>
      <c r="AL36" s="118"/>
      <c r="AM36" s="118"/>
      <c r="AN36" s="118"/>
    </row>
    <row r="37" spans="1:40" s="93" customFormat="1" ht="39.950000000000003" customHeight="1" x14ac:dyDescent="0.25">
      <c r="A37" s="110">
        <v>19</v>
      </c>
      <c r="B37" s="110"/>
      <c r="C37" s="140" t="s">
        <v>410</v>
      </c>
      <c r="D37" s="140" t="s">
        <v>2322</v>
      </c>
      <c r="E37" s="141" t="s">
        <v>2323</v>
      </c>
      <c r="F37" s="142" t="str">
        <f t="shared" si="9"/>
        <v>35 años 9 meses 1 días</v>
      </c>
      <c r="G37" s="143">
        <v>1</v>
      </c>
      <c r="H37" s="110" t="str">
        <f t="shared" si="10"/>
        <v>53 años 5 meses 18 días</v>
      </c>
      <c r="I37" s="110" t="str">
        <f t="shared" si="11"/>
        <v>9 años 2 meses 5 días</v>
      </c>
      <c r="J37" s="195"/>
      <c r="K37" s="196"/>
      <c r="L37" s="197"/>
      <c r="M37" s="144">
        <f>35615.53</f>
        <v>35615.53</v>
      </c>
      <c r="N37" s="115">
        <f t="shared" si="12"/>
        <v>35615.53</v>
      </c>
      <c r="O37" s="134"/>
      <c r="P37" s="134" t="s">
        <v>2288</v>
      </c>
      <c r="Q37" s="115" t="s">
        <v>336</v>
      </c>
      <c r="R37" s="145">
        <v>32356</v>
      </c>
      <c r="S37" s="146">
        <v>45414</v>
      </c>
      <c r="T37" s="145">
        <v>25886</v>
      </c>
      <c r="U37" s="145">
        <v>42062</v>
      </c>
      <c r="V37" s="116"/>
      <c r="W37" s="116"/>
      <c r="X37" s="116"/>
      <c r="Y37" s="116"/>
      <c r="Z37" s="52"/>
      <c r="AA37" s="52"/>
      <c r="AB37" s="52"/>
      <c r="AC37" s="117"/>
      <c r="AD37" s="118" t="s">
        <v>134</v>
      </c>
      <c r="AE37" s="164" t="s">
        <v>36</v>
      </c>
      <c r="AF37" s="165" t="s">
        <v>37</v>
      </c>
      <c r="AH37" s="118"/>
      <c r="AI37" s="118"/>
      <c r="AJ37" s="118"/>
      <c r="AL37" s="118"/>
      <c r="AM37" s="118"/>
      <c r="AN37" s="118"/>
    </row>
    <row r="38" spans="1:40" s="93" customFormat="1" ht="39.950000000000003" customHeight="1" x14ac:dyDescent="0.25">
      <c r="A38" s="110">
        <v>20</v>
      </c>
      <c r="B38" s="110"/>
      <c r="C38" s="140" t="s">
        <v>410</v>
      </c>
      <c r="D38" s="140" t="s">
        <v>2324</v>
      </c>
      <c r="E38" s="141" t="s">
        <v>2325</v>
      </c>
      <c r="F38" s="142" t="str">
        <f t="shared" si="9"/>
        <v>32 años 6 meses 24 días</v>
      </c>
      <c r="G38" s="143">
        <v>0.94</v>
      </c>
      <c r="H38" s="110" t="str">
        <f t="shared" si="10"/>
        <v>49 años 10 meses 1 días</v>
      </c>
      <c r="I38" s="110" t="str">
        <f t="shared" si="11"/>
        <v>5 años 2 meses 1 días</v>
      </c>
      <c r="J38" s="195"/>
      <c r="K38" s="196"/>
      <c r="L38" s="197"/>
      <c r="M38" s="144">
        <f>35615.53</f>
        <v>35615.53</v>
      </c>
      <c r="N38" s="115">
        <f t="shared" si="12"/>
        <v>33478.5982</v>
      </c>
      <c r="O38" s="134"/>
      <c r="P38" s="134" t="s">
        <v>2288</v>
      </c>
      <c r="Q38" s="115" t="s">
        <v>336</v>
      </c>
      <c r="R38" s="145">
        <v>35612</v>
      </c>
      <c r="S38" s="146">
        <v>45414</v>
      </c>
      <c r="T38" s="145">
        <v>27211</v>
      </c>
      <c r="U38" s="145">
        <v>43525</v>
      </c>
      <c r="V38" s="116">
        <v>33451</v>
      </c>
      <c r="W38" s="116">
        <v>35544</v>
      </c>
      <c r="X38" s="116"/>
      <c r="Y38" s="116"/>
      <c r="Z38" s="52"/>
      <c r="AA38" s="52"/>
      <c r="AB38" s="52"/>
      <c r="AC38" s="117"/>
      <c r="AD38" s="118" t="s">
        <v>1032</v>
      </c>
      <c r="AE38" s="164" t="s">
        <v>36</v>
      </c>
      <c r="AF38" s="165" t="s">
        <v>37</v>
      </c>
      <c r="AH38" s="118">
        <v>1</v>
      </c>
      <c r="AI38" s="118"/>
      <c r="AJ38" s="118"/>
      <c r="AL38" s="118"/>
      <c r="AM38" s="118">
        <v>12</v>
      </c>
      <c r="AN38" s="118"/>
    </row>
    <row r="39" spans="1:40" s="93" customFormat="1" ht="39.950000000000003" customHeight="1" x14ac:dyDescent="0.25">
      <c r="A39" s="110">
        <v>21</v>
      </c>
      <c r="B39" s="110"/>
      <c r="C39" s="140" t="s">
        <v>410</v>
      </c>
      <c r="D39" s="140" t="s">
        <v>2326</v>
      </c>
      <c r="E39" s="141" t="s">
        <v>2327</v>
      </c>
      <c r="F39" s="142" t="str">
        <f t="shared" si="9"/>
        <v>35 años 3 meses 17 días</v>
      </c>
      <c r="G39" s="143">
        <v>1</v>
      </c>
      <c r="H39" s="110" t="str">
        <f t="shared" si="10"/>
        <v>56 años 3 meses 7 días</v>
      </c>
      <c r="I39" s="110" t="str">
        <f t="shared" si="11"/>
        <v>6 años 2 meses 5 días</v>
      </c>
      <c r="J39" s="195"/>
      <c r="K39" s="196"/>
      <c r="L39" s="197"/>
      <c r="M39" s="144">
        <f>35615.53</f>
        <v>35615.53</v>
      </c>
      <c r="N39" s="115">
        <f t="shared" si="12"/>
        <v>35615.53</v>
      </c>
      <c r="O39" s="134"/>
      <c r="P39" s="134" t="s">
        <v>2288</v>
      </c>
      <c r="Q39" s="115" t="s">
        <v>336</v>
      </c>
      <c r="R39" s="145">
        <v>32523</v>
      </c>
      <c r="S39" s="146">
        <v>45414</v>
      </c>
      <c r="T39" s="145">
        <v>24862</v>
      </c>
      <c r="U39" s="145">
        <v>43158</v>
      </c>
      <c r="V39" s="116"/>
      <c r="W39" s="116"/>
      <c r="X39" s="116"/>
      <c r="Y39" s="116"/>
      <c r="Z39" s="52"/>
      <c r="AA39" s="52"/>
      <c r="AB39" s="52"/>
      <c r="AC39" s="117"/>
      <c r="AD39" s="118" t="s">
        <v>2328</v>
      </c>
      <c r="AE39" s="164" t="s">
        <v>36</v>
      </c>
      <c r="AF39" s="165" t="s">
        <v>37</v>
      </c>
      <c r="AH39" s="118"/>
      <c r="AI39" s="118"/>
      <c r="AJ39" s="118"/>
      <c r="AL39" s="118"/>
      <c r="AM39" s="118"/>
      <c r="AN39" s="118"/>
    </row>
    <row r="40" spans="1:40" s="93" customFormat="1" ht="39.950000000000003" customHeight="1" x14ac:dyDescent="0.25">
      <c r="A40" s="110">
        <v>22</v>
      </c>
      <c r="B40" s="110"/>
      <c r="C40" s="140" t="s">
        <v>410</v>
      </c>
      <c r="D40" s="140" t="s">
        <v>2329</v>
      </c>
      <c r="E40" s="141" t="s">
        <v>2330</v>
      </c>
      <c r="F40" s="142" t="str">
        <f>DATEDIF(R40,S40,"y") + DATEDIF(V40,W40,"y") + DATEDIF(X40,Y40,"y") + SUM(AH40) &amp; " años " &amp; DATEDIF(R40,S40,"ym") + DATEDIF(V40,W40,"ym") + DATEDIF(X40,Y40,"ym") + SUM(AI40) - SUM(AM40) &amp; " meses " &amp; DATEDIF(R40,S40,"md") + DATEDIF(V40,W40,"md") + DATEDIF(X40,Y40,"md") - SUM(AN40) &amp; " días"</f>
        <v>34 años 11 meses 17 días</v>
      </c>
      <c r="G40" s="143">
        <v>1</v>
      </c>
      <c r="H40" s="110" t="str">
        <f>DATEDIF(T40,S40,"y") &amp; " años " &amp; DATEDIF(T40,S40,"ym") &amp; " meses " &amp; DATEDIF(T40,S40,"md") &amp; " días"</f>
        <v>55 años 1 meses 24 días</v>
      </c>
      <c r="I40" s="110" t="str">
        <f>DATEDIF(U40,S40,"y") &amp; " años " &amp; DATEDIF(U40,S40,"ym") &amp; " meses " &amp; DATEDIF(U40,S40,"md") &amp; " días"</f>
        <v>13 años 2 meses 1 días</v>
      </c>
      <c r="J40" s="195" t="s">
        <v>13</v>
      </c>
      <c r="K40" s="196"/>
      <c r="L40" s="197"/>
      <c r="M40" s="144">
        <f>35615.53+12000</f>
        <v>47615.53</v>
      </c>
      <c r="N40" s="115">
        <f>M40*G40</f>
        <v>47615.53</v>
      </c>
      <c r="O40" s="134"/>
      <c r="P40" s="134" t="s">
        <v>2288</v>
      </c>
      <c r="Q40" s="115" t="s">
        <v>336</v>
      </c>
      <c r="R40" s="145">
        <v>32643</v>
      </c>
      <c r="S40" s="146">
        <v>45414</v>
      </c>
      <c r="T40" s="145">
        <v>25270</v>
      </c>
      <c r="U40" s="145">
        <v>40603</v>
      </c>
      <c r="V40" s="116"/>
      <c r="W40" s="116"/>
      <c r="X40" s="116"/>
      <c r="Y40" s="116"/>
      <c r="Z40" s="52"/>
      <c r="AA40" s="52"/>
      <c r="AB40" s="52"/>
      <c r="AC40" s="117"/>
      <c r="AD40" s="118" t="s">
        <v>134</v>
      </c>
      <c r="AE40" s="164" t="s">
        <v>36</v>
      </c>
      <c r="AF40" s="165" t="s">
        <v>37</v>
      </c>
      <c r="AH40" s="118"/>
      <c r="AI40" s="118"/>
      <c r="AJ40" s="118"/>
      <c r="AL40" s="118"/>
      <c r="AM40" s="118"/>
      <c r="AN40" s="118"/>
    </row>
    <row r="41" spans="1:40" s="93" customFormat="1" ht="39.950000000000003" customHeight="1" x14ac:dyDescent="0.25">
      <c r="A41" s="110">
        <v>23</v>
      </c>
      <c r="B41" s="139"/>
      <c r="C41" s="140" t="s">
        <v>87</v>
      </c>
      <c r="D41" s="140" t="s">
        <v>2331</v>
      </c>
      <c r="E41" s="141" t="s">
        <v>2332</v>
      </c>
      <c r="F41" s="142" t="str">
        <f t="shared" ref="F41:F45" si="13">DATEDIF(R41,S41,"y") + DATEDIF(V41,W41,"y") + DATEDIF(X41,Y41,"y") + SUM(AH41) &amp; " años " &amp; DATEDIF(R41,S41,"ym") + DATEDIF(V41,W41,"ym") + DATEDIF(X41,Y41,"ym") + SUM(AI41) - SUM(AM41) &amp; " meses " &amp; DATEDIF(R41,S41,"md") + DATEDIF(V41,W41,"md") + DATEDIF(X41,Y41,"md") - SUM(AN41) &amp; " días"</f>
        <v>31 años 10 meses 1 días</v>
      </c>
      <c r="G41" s="143">
        <v>0.91</v>
      </c>
      <c r="H41" s="110" t="str">
        <f t="shared" ref="H41:H45" si="14">DATEDIF(T41,S41,"y") &amp; " años " &amp; DATEDIF(T41,S41,"ym") &amp; " meses " &amp; DATEDIF(T41,S41,"md") &amp; " días"</f>
        <v>49 años 0 meses 12 días</v>
      </c>
      <c r="I41" s="110" t="str">
        <f t="shared" ref="I41:I45" si="15">DATEDIF(U41,S41,"y") &amp; " años " &amp; DATEDIF(U41,S41,"ym") &amp; " meses " &amp; DATEDIF(U41,S41,"md") &amp; " días"</f>
        <v>6 años 2 meses 5 días</v>
      </c>
      <c r="J41" s="195"/>
      <c r="K41" s="196"/>
      <c r="L41" s="197"/>
      <c r="M41" s="144">
        <v>34575.769999999997</v>
      </c>
      <c r="N41" s="115">
        <f t="shared" ref="N41:N45" si="16">M41*G41</f>
        <v>31463.950699999998</v>
      </c>
      <c r="O41" s="134"/>
      <c r="P41" s="134" t="s">
        <v>42</v>
      </c>
      <c r="Q41" s="115" t="s">
        <v>336</v>
      </c>
      <c r="R41" s="145">
        <v>33786</v>
      </c>
      <c r="S41" s="146">
        <v>45414</v>
      </c>
      <c r="T41" s="145">
        <v>27504</v>
      </c>
      <c r="U41" s="145">
        <v>43158</v>
      </c>
      <c r="V41" s="116"/>
      <c r="W41" s="116"/>
      <c r="X41" s="116"/>
      <c r="Y41" s="116"/>
      <c r="Z41" s="52"/>
      <c r="AA41" s="52"/>
      <c r="AB41" s="52"/>
      <c r="AC41" s="117"/>
      <c r="AD41" s="118" t="s">
        <v>134</v>
      </c>
      <c r="AE41" s="164" t="s">
        <v>36</v>
      </c>
      <c r="AF41" s="165" t="s">
        <v>37</v>
      </c>
      <c r="AH41" s="118"/>
      <c r="AI41" s="118"/>
      <c r="AJ41" s="118"/>
      <c r="AL41" s="118"/>
      <c r="AM41" s="118"/>
      <c r="AN41" s="118"/>
    </row>
    <row r="42" spans="1:40" s="93" customFormat="1" ht="39.950000000000003" customHeight="1" x14ac:dyDescent="0.25">
      <c r="A42" s="110">
        <v>24</v>
      </c>
      <c r="B42" s="139"/>
      <c r="C42" s="140" t="s">
        <v>87</v>
      </c>
      <c r="D42" s="140" t="s">
        <v>2333</v>
      </c>
      <c r="E42" s="141" t="s">
        <v>2334</v>
      </c>
      <c r="F42" s="142" t="str">
        <f t="shared" si="13"/>
        <v>31 años 9 meses 1 días</v>
      </c>
      <c r="G42" s="143">
        <v>0.91</v>
      </c>
      <c r="H42" s="110" t="str">
        <f t="shared" si="14"/>
        <v>50 años 9 meses 19 días</v>
      </c>
      <c r="I42" s="110" t="str">
        <f t="shared" si="15"/>
        <v>2 años 2 meses 5 días</v>
      </c>
      <c r="J42" s="195"/>
      <c r="K42" s="196"/>
      <c r="L42" s="197"/>
      <c r="M42" s="144">
        <v>32541.77</v>
      </c>
      <c r="N42" s="115">
        <f t="shared" si="16"/>
        <v>29613.010700000003</v>
      </c>
      <c r="O42" s="134"/>
      <c r="P42" s="134" t="s">
        <v>42</v>
      </c>
      <c r="Q42" s="115" t="s">
        <v>336</v>
      </c>
      <c r="R42" s="145">
        <v>33817</v>
      </c>
      <c r="S42" s="146">
        <v>45414</v>
      </c>
      <c r="T42" s="145">
        <v>26858</v>
      </c>
      <c r="U42" s="145">
        <v>44619</v>
      </c>
      <c r="V42" s="116"/>
      <c r="W42" s="116"/>
      <c r="X42" s="116"/>
      <c r="Y42" s="116"/>
      <c r="Z42" s="52"/>
      <c r="AA42" s="52"/>
      <c r="AB42" s="52"/>
      <c r="AC42" s="117"/>
      <c r="AD42" s="118" t="s">
        <v>1032</v>
      </c>
      <c r="AE42" s="164" t="s">
        <v>36</v>
      </c>
      <c r="AF42" s="165" t="s">
        <v>37</v>
      </c>
      <c r="AH42" s="118"/>
      <c r="AI42" s="118"/>
      <c r="AJ42" s="118"/>
      <c r="AL42" s="118"/>
      <c r="AM42" s="118"/>
      <c r="AN42" s="118"/>
    </row>
    <row r="43" spans="1:40" s="93" customFormat="1" ht="39.950000000000003" customHeight="1" x14ac:dyDescent="0.25">
      <c r="A43" s="110">
        <v>25</v>
      </c>
      <c r="B43" s="139"/>
      <c r="C43" s="140" t="s">
        <v>87</v>
      </c>
      <c r="D43" s="140" t="s">
        <v>2335</v>
      </c>
      <c r="E43" s="141" t="s">
        <v>2336</v>
      </c>
      <c r="F43" s="142" t="str">
        <f t="shared" si="13"/>
        <v>29 años 2 meses 17 días</v>
      </c>
      <c r="G43" s="143">
        <v>0.82499999999999996</v>
      </c>
      <c r="H43" s="110" t="str">
        <f t="shared" si="14"/>
        <v>54 años 0 meses 1 días</v>
      </c>
      <c r="I43" s="110" t="str">
        <f t="shared" si="15"/>
        <v>5 años 2 meses 1 días</v>
      </c>
      <c r="J43" s="195"/>
      <c r="K43" s="196"/>
      <c r="L43" s="197"/>
      <c r="M43" s="144">
        <v>34575.769999999997</v>
      </c>
      <c r="N43" s="115">
        <f t="shared" si="16"/>
        <v>28525.010249999996</v>
      </c>
      <c r="O43" s="134"/>
      <c r="P43" s="134" t="s">
        <v>42</v>
      </c>
      <c r="Q43" s="115" t="s">
        <v>336</v>
      </c>
      <c r="R43" s="145">
        <v>36784</v>
      </c>
      <c r="S43" s="146">
        <v>45414</v>
      </c>
      <c r="T43" s="145">
        <v>25689</v>
      </c>
      <c r="U43" s="145">
        <v>43525</v>
      </c>
      <c r="V43" s="116">
        <v>33817</v>
      </c>
      <c r="W43" s="116">
        <v>35855</v>
      </c>
      <c r="X43" s="116"/>
      <c r="Y43" s="116"/>
      <c r="Z43" s="52"/>
      <c r="AA43" s="52"/>
      <c r="AB43" s="52"/>
      <c r="AC43" s="117"/>
      <c r="AD43" s="118" t="s">
        <v>129</v>
      </c>
      <c r="AE43" s="164" t="s">
        <v>36</v>
      </c>
      <c r="AF43" s="165" t="s">
        <v>37</v>
      </c>
      <c r="AH43" s="118">
        <v>1</v>
      </c>
      <c r="AI43" s="118"/>
      <c r="AJ43" s="118"/>
      <c r="AL43" s="118"/>
      <c r="AM43" s="118">
        <v>12</v>
      </c>
      <c r="AN43" s="118"/>
    </row>
    <row r="44" spans="1:40" s="93" customFormat="1" ht="39.950000000000003" customHeight="1" x14ac:dyDescent="0.25">
      <c r="A44" s="110">
        <v>26</v>
      </c>
      <c r="B44" s="139"/>
      <c r="C44" s="140" t="s">
        <v>87</v>
      </c>
      <c r="D44" s="140" t="s">
        <v>2337</v>
      </c>
      <c r="E44" s="141" t="s">
        <v>2338</v>
      </c>
      <c r="F44" s="142" t="str">
        <f t="shared" si="13"/>
        <v>27 años 3 meses 0 días</v>
      </c>
      <c r="G44" s="143">
        <v>0.77500000000000002</v>
      </c>
      <c r="H44" s="110" t="str">
        <f t="shared" si="14"/>
        <v>47 años 4 meses 9 días</v>
      </c>
      <c r="I44" s="110" t="str">
        <f t="shared" si="15"/>
        <v>4 años 2 meses 5 días</v>
      </c>
      <c r="J44" s="195"/>
      <c r="K44" s="196"/>
      <c r="L44" s="197"/>
      <c r="M44" s="144">
        <v>32541.77</v>
      </c>
      <c r="N44" s="115">
        <f t="shared" si="16"/>
        <v>25219.871750000002</v>
      </c>
      <c r="O44" s="134"/>
      <c r="P44" s="134" t="s">
        <v>42</v>
      </c>
      <c r="Q44" s="115" t="s">
        <v>336</v>
      </c>
      <c r="R44" s="145">
        <v>36923</v>
      </c>
      <c r="S44" s="146">
        <v>45414</v>
      </c>
      <c r="T44" s="145">
        <v>28117</v>
      </c>
      <c r="U44" s="145">
        <v>43888</v>
      </c>
      <c r="V44" s="116">
        <v>33787</v>
      </c>
      <c r="W44" s="116">
        <v>35247</v>
      </c>
      <c r="X44" s="116"/>
      <c r="Y44" s="116"/>
      <c r="Z44" s="52"/>
      <c r="AA44" s="52"/>
      <c r="AB44" s="52"/>
      <c r="AC44" s="117"/>
      <c r="AD44" s="118" t="s">
        <v>129</v>
      </c>
      <c r="AE44" s="164" t="s">
        <v>36</v>
      </c>
      <c r="AF44" s="165" t="s">
        <v>37</v>
      </c>
      <c r="AH44" s="118">
        <v>1</v>
      </c>
      <c r="AI44" s="118">
        <v>1</v>
      </c>
      <c r="AJ44" s="118"/>
      <c r="AL44" s="118"/>
      <c r="AM44" s="118">
        <v>12</v>
      </c>
      <c r="AN44" s="118">
        <v>30</v>
      </c>
    </row>
    <row r="45" spans="1:40" s="93" customFormat="1" ht="39.950000000000003" customHeight="1" x14ac:dyDescent="0.25">
      <c r="A45" s="110">
        <v>27</v>
      </c>
      <c r="B45" s="139"/>
      <c r="C45" s="140" t="s">
        <v>87</v>
      </c>
      <c r="D45" s="140" t="s">
        <v>2339</v>
      </c>
      <c r="E45" s="141" t="s">
        <v>2340</v>
      </c>
      <c r="F45" s="142" t="str">
        <f t="shared" si="13"/>
        <v>31 años 3 meses 1 días</v>
      </c>
      <c r="G45" s="143">
        <v>0.88</v>
      </c>
      <c r="H45" s="110" t="str">
        <f t="shared" si="14"/>
        <v>53 años 3 meses 10 días</v>
      </c>
      <c r="I45" s="110" t="str">
        <f t="shared" si="15"/>
        <v>2 años 2 meses 5 días</v>
      </c>
      <c r="J45" s="195"/>
      <c r="K45" s="196"/>
      <c r="L45" s="197"/>
      <c r="M45" s="144">
        <v>32541.78</v>
      </c>
      <c r="N45" s="115">
        <f t="shared" si="16"/>
        <v>28636.7664</v>
      </c>
      <c r="O45" s="134"/>
      <c r="P45" s="134" t="s">
        <v>42</v>
      </c>
      <c r="Q45" s="115" t="s">
        <v>336</v>
      </c>
      <c r="R45" s="145">
        <v>34001</v>
      </c>
      <c r="S45" s="146">
        <v>45414</v>
      </c>
      <c r="T45" s="145">
        <v>25955</v>
      </c>
      <c r="U45" s="145">
        <v>44619</v>
      </c>
      <c r="V45" s="116"/>
      <c r="W45" s="116"/>
      <c r="X45" s="116"/>
      <c r="Y45" s="116"/>
      <c r="Z45" s="52"/>
      <c r="AA45" s="52"/>
      <c r="AB45" s="52"/>
      <c r="AC45" s="117"/>
      <c r="AD45" s="118" t="s">
        <v>1032</v>
      </c>
      <c r="AE45" s="164" t="s">
        <v>36</v>
      </c>
      <c r="AF45" s="165" t="s">
        <v>37</v>
      </c>
      <c r="AH45" s="118"/>
      <c r="AI45" s="118"/>
      <c r="AJ45" s="118"/>
      <c r="AL45" s="118"/>
      <c r="AM45" s="118"/>
      <c r="AN45" s="118"/>
    </row>
    <row r="46" spans="1:40" s="93" customFormat="1" ht="39.950000000000003" customHeight="1" x14ac:dyDescent="0.25">
      <c r="A46" s="110">
        <v>28</v>
      </c>
      <c r="B46" s="139"/>
      <c r="C46" s="140" t="s">
        <v>87</v>
      </c>
      <c r="D46" s="140" t="s">
        <v>2341</v>
      </c>
      <c r="E46" s="141" t="s">
        <v>2342</v>
      </c>
      <c r="F46" s="142" t="str">
        <f>DATEDIF(R46,S46,"y") + DATEDIF(V46,W46,"y") + DATEDIF(X46,Y46,"y") + SUM(AH46) &amp; " años " &amp; DATEDIF(R46,S46,"ym") + DATEDIF(V46,W46,"ym") + DATEDIF(X46,Y46,"ym") + SUM(AI46) - SUM(AM46) &amp; " meses " &amp; DATEDIF(R46,S46,"md") + DATEDIF(V46,W46,"md") + DATEDIF(X46,Y46,"md") - SUM(AN46) &amp; " días"</f>
        <v>26 años 7 meses 1 días</v>
      </c>
      <c r="G46" s="143">
        <v>0.77500000000000002</v>
      </c>
      <c r="H46" s="110" t="str">
        <f>DATEDIF(T46,S46,"y") &amp; " años " &amp; DATEDIF(T46,S46,"ym") &amp; " meses " &amp; DATEDIF(T46,S46,"md") &amp; " días"</f>
        <v>42 años 7 meses 21 días</v>
      </c>
      <c r="I46" s="110" t="str">
        <f>DATEDIF(U46,S46,"y") &amp; " años " &amp; DATEDIF(U46,S46,"ym") &amp; " meses " &amp; DATEDIF(U46,S46,"md") &amp; " días"</f>
        <v>9 años 2 meses 5 días</v>
      </c>
      <c r="J46" s="195"/>
      <c r="K46" s="196"/>
      <c r="L46" s="197"/>
      <c r="M46" s="144">
        <v>34575.769999999997</v>
      </c>
      <c r="N46" s="115">
        <f>M46*G46</f>
        <v>26796.221749999997</v>
      </c>
      <c r="O46" s="134"/>
      <c r="P46" s="134" t="s">
        <v>42</v>
      </c>
      <c r="Q46" s="115" t="s">
        <v>336</v>
      </c>
      <c r="R46" s="145">
        <v>35704</v>
      </c>
      <c r="S46" s="146">
        <v>45414</v>
      </c>
      <c r="T46" s="145">
        <v>29840</v>
      </c>
      <c r="U46" s="145">
        <v>42062</v>
      </c>
      <c r="V46" s="116"/>
      <c r="W46" s="116"/>
      <c r="X46" s="116"/>
      <c r="Y46" s="116"/>
      <c r="Z46" s="52"/>
      <c r="AA46" s="52"/>
      <c r="AB46" s="52"/>
      <c r="AC46" s="117"/>
      <c r="AD46" s="118" t="s">
        <v>268</v>
      </c>
      <c r="AE46" s="164" t="s">
        <v>36</v>
      </c>
      <c r="AF46" s="165" t="s">
        <v>37</v>
      </c>
      <c r="AH46" s="118"/>
      <c r="AI46" s="118"/>
      <c r="AJ46" s="118"/>
      <c r="AL46" s="118"/>
      <c r="AM46" s="118"/>
      <c r="AN46" s="118"/>
    </row>
    <row r="47" spans="1:40" s="93" customFormat="1" ht="39.950000000000003" customHeight="1" x14ac:dyDescent="0.25">
      <c r="A47" s="110">
        <v>29</v>
      </c>
      <c r="B47" s="139"/>
      <c r="C47" s="140" t="s">
        <v>122</v>
      </c>
      <c r="D47" s="140" t="s">
        <v>2343</v>
      </c>
      <c r="E47" s="141" t="s">
        <v>2344</v>
      </c>
      <c r="F47" s="142" t="str">
        <f>DATEDIF(R47,S47,"y") + DATEDIF(V47,W47,"y") + DATEDIF(X47,Y47,"y") + SUM(AH47) &amp; " años " &amp; DATEDIF(R47,S47,"ym") + DATEDIF(V47,W47,"ym") + DATEDIF(X47,Y47,"ym") + SUM(AI47) - SUM(AM47) &amp; " meses " &amp; DATEDIF(R47,S47,"md") + DATEDIF(V47,W47,"md") + DATEDIF(X47,Y47,"md") - SUM(AN47) &amp; " días"</f>
        <v>23 años 7 meses 17 días</v>
      </c>
      <c r="G47" s="143">
        <v>0.7</v>
      </c>
      <c r="H47" s="110" t="str">
        <f>DATEDIF(T47,S47,"y") &amp; " años " &amp; DATEDIF(T47,S47,"ym") &amp; " meses " &amp; DATEDIF(T47,S47,"md") &amp; " días"</f>
        <v>52 años 0 meses 2 días</v>
      </c>
      <c r="I47" s="110" t="str">
        <f>DATEDIF(U47,S47,"y") &amp; " años " &amp; DATEDIF(U47,S47,"ym") &amp; " meses " &amp; DATEDIF(U47,S47,"md") &amp; " días"</f>
        <v>4 años 2 meses 5 días</v>
      </c>
      <c r="J47" s="195"/>
      <c r="K47" s="196"/>
      <c r="L47" s="197"/>
      <c r="M47" s="144">
        <f>31510.27+8000</f>
        <v>39510.270000000004</v>
      </c>
      <c r="N47" s="115">
        <f>M47*G47</f>
        <v>27657.189000000002</v>
      </c>
      <c r="O47" s="134"/>
      <c r="P47" s="134" t="s">
        <v>42</v>
      </c>
      <c r="Q47" s="115" t="s">
        <v>336</v>
      </c>
      <c r="R47" s="145">
        <v>36784</v>
      </c>
      <c r="S47" s="146">
        <v>45414</v>
      </c>
      <c r="T47" s="145">
        <v>26419</v>
      </c>
      <c r="U47" s="145">
        <v>43888</v>
      </c>
      <c r="V47" s="116"/>
      <c r="W47" s="116"/>
      <c r="X47" s="116"/>
      <c r="Y47" s="116"/>
      <c r="Z47" s="52"/>
      <c r="AA47" s="52"/>
      <c r="AB47" s="52"/>
      <c r="AC47" s="117"/>
      <c r="AD47" s="118" t="s">
        <v>129</v>
      </c>
      <c r="AE47" s="164" t="s">
        <v>36</v>
      </c>
      <c r="AF47" s="165" t="s">
        <v>37</v>
      </c>
      <c r="AH47" s="118"/>
      <c r="AI47" s="118"/>
      <c r="AJ47" s="118"/>
      <c r="AL47" s="118"/>
      <c r="AM47" s="118"/>
      <c r="AN47" s="118"/>
    </row>
    <row r="48" spans="1:40" s="93" customFormat="1" ht="39.950000000000003" customHeight="1" x14ac:dyDescent="0.25">
      <c r="A48" s="110">
        <v>30</v>
      </c>
      <c r="B48" s="139"/>
      <c r="C48" s="140" t="s">
        <v>122</v>
      </c>
      <c r="D48" s="140" t="s">
        <v>2345</v>
      </c>
      <c r="E48" s="141" t="s">
        <v>2346</v>
      </c>
      <c r="F48" s="142" t="str">
        <f>DATEDIF(R48,S48,"y") + DATEDIF(V48,W48,"y") + DATEDIF(X48,Y48,"y") + SUM(AH48) &amp; " años " &amp; DATEDIF(R48,S48,"ym") + DATEDIF(V48,W48,"ym") + DATEDIF(X48,Y48,"ym") + SUM(AI48) - SUM(AM48) &amp; " meses " &amp; DATEDIF(R48,S48,"md") + DATEDIF(V48,W48,"md") + DATEDIF(X48,Y48,"md") - SUM(AN48) &amp; " días"</f>
        <v>27 años 1 meses 1 días</v>
      </c>
      <c r="G48" s="143">
        <v>0.77500000000000002</v>
      </c>
      <c r="H48" s="110" t="str">
        <f>DATEDIF(T48,S48,"y") &amp; " años " &amp; DATEDIF(T48,S48,"ym") &amp; " meses " &amp; DATEDIF(T48,S48,"md") &amp; " días"</f>
        <v>53 años 0 meses 9 días</v>
      </c>
      <c r="I48" s="110" t="str">
        <f>DATEDIF(U48,S48,"y") &amp; " años " &amp; DATEDIF(U48,S48,"ym") &amp; " meses " &amp; DATEDIF(U48,S48,"md") &amp; " días"</f>
        <v>6 años 2 meses 5 días</v>
      </c>
      <c r="J48" s="195"/>
      <c r="K48" s="196"/>
      <c r="L48" s="197"/>
      <c r="M48" s="144">
        <v>32541.77</v>
      </c>
      <c r="N48" s="115">
        <f>M48*G48</f>
        <v>25219.871750000002</v>
      </c>
      <c r="O48" s="134"/>
      <c r="P48" s="134" t="s">
        <v>42</v>
      </c>
      <c r="Q48" s="115" t="s">
        <v>336</v>
      </c>
      <c r="R48" s="145">
        <v>35521</v>
      </c>
      <c r="S48" s="146">
        <v>45414</v>
      </c>
      <c r="T48" s="145">
        <v>26046</v>
      </c>
      <c r="U48" s="145">
        <v>43158</v>
      </c>
      <c r="V48" s="116"/>
      <c r="W48" s="116"/>
      <c r="X48" s="116"/>
      <c r="Y48" s="116"/>
      <c r="Z48" s="52"/>
      <c r="AA48" s="52"/>
      <c r="AB48" s="52"/>
      <c r="AC48" s="117"/>
      <c r="AD48" s="118" t="s">
        <v>35</v>
      </c>
      <c r="AE48" s="164" t="s">
        <v>36</v>
      </c>
      <c r="AF48" s="165" t="s">
        <v>37</v>
      </c>
      <c r="AH48" s="118"/>
      <c r="AI48" s="118"/>
      <c r="AJ48" s="118"/>
      <c r="AL48" s="118"/>
      <c r="AM48" s="118"/>
      <c r="AN48" s="118"/>
    </row>
    <row r="49" spans="1:40" s="93" customFormat="1" ht="39.950000000000003" customHeight="1" x14ac:dyDescent="0.25">
      <c r="A49" s="110">
        <v>31</v>
      </c>
      <c r="B49" s="110"/>
      <c r="C49" s="148" t="s">
        <v>122</v>
      </c>
      <c r="D49" s="152" t="s">
        <v>2347</v>
      </c>
      <c r="E49" s="153" t="s">
        <v>2348</v>
      </c>
      <c r="F49" s="142" t="str">
        <f>DATEDIF(R49,S49,"y") + DATEDIF(V49,W49,"y") + DATEDIF(X49,Y49,"y") + SUM(AH49) &amp; " años " &amp; DATEDIF(R49,S49,"ym") + DATEDIF(V49,W49,"ym") + DATEDIF(X49,Y49,"ym") + SUM(AI49) - SUM(AM49) &amp; " meses " &amp; DATEDIF(R49,S49,"md") + DATEDIF(V49,W49,"md") + DATEDIF(X49,Y49,"md") - SUM(AN49) &amp; " días"</f>
        <v>25 años 6 meses 1 días</v>
      </c>
      <c r="G49" s="143">
        <v>1</v>
      </c>
      <c r="H49" s="110" t="str">
        <f>DATEDIF(T49,S49,"y") &amp; " años " &amp; DATEDIF(T49,S49,"ym") &amp; " meses " &amp; DATEDIF(T49,S49,"md") &amp; " días"</f>
        <v>46 años 2 meses 17 días</v>
      </c>
      <c r="I49" s="110" t="str">
        <f>DATEDIF(U49,S49,"y") &amp; " años " &amp; DATEDIF(U49,S49,"ym") &amp; " meses " &amp; DATEDIF(U49,S49,"md") &amp; " días"</f>
        <v>5 años 2 meses 1 días</v>
      </c>
      <c r="J49" s="195"/>
      <c r="K49" s="196"/>
      <c r="L49" s="197"/>
      <c r="M49" s="115">
        <v>32541.78</v>
      </c>
      <c r="N49" s="115">
        <f>M49*G49</f>
        <v>32541.78</v>
      </c>
      <c r="O49" s="134" t="s">
        <v>205</v>
      </c>
      <c r="P49" s="134" t="s">
        <v>33</v>
      </c>
      <c r="Q49" s="115" t="s">
        <v>337</v>
      </c>
      <c r="R49" s="154">
        <v>36100</v>
      </c>
      <c r="S49" s="154">
        <v>45414</v>
      </c>
      <c r="T49" s="155">
        <v>28536</v>
      </c>
      <c r="U49" s="155">
        <v>43525</v>
      </c>
      <c r="V49" s="116"/>
      <c r="W49" s="116"/>
      <c r="X49" s="116"/>
      <c r="Y49" s="116"/>
      <c r="Z49"/>
      <c r="AA49"/>
      <c r="AB49"/>
      <c r="AC49" s="117"/>
      <c r="AD49" s="118" t="s">
        <v>293</v>
      </c>
      <c r="AE49" s="164" t="s">
        <v>36</v>
      </c>
      <c r="AF49" s="165" t="s">
        <v>37</v>
      </c>
      <c r="AH49" s="118"/>
      <c r="AI49" s="118"/>
      <c r="AJ49" s="118"/>
      <c r="AL49" s="118"/>
      <c r="AM49" s="118"/>
      <c r="AN49" s="118"/>
    </row>
    <row r="50" spans="1:40" s="93" customFormat="1" ht="39.950000000000003" customHeight="1" x14ac:dyDescent="0.25">
      <c r="A50" s="110">
        <v>32</v>
      </c>
      <c r="B50" s="110"/>
      <c r="C50" s="140" t="s">
        <v>2071</v>
      </c>
      <c r="D50" s="140" t="s">
        <v>2349</v>
      </c>
      <c r="E50" s="150" t="s">
        <v>2350</v>
      </c>
      <c r="F50" s="142" t="str">
        <f t="shared" ref="F50" si="17">DATEDIF(R50,S50,"y") + DATEDIF(V50,W50,"y") + DATEDIF(X50,Y50,"y") + SUM(AH50) &amp; " años " &amp; DATEDIF(R50,S50,"ym") + DATEDIF(V50,W50,"ym") + DATEDIF(X50,Y50,"ym") + SUM(AI50) - SUM(AM50) &amp; " meses " &amp; DATEDIF(R50,S50,"md") + DATEDIF(V50,W50,"md") + DATEDIF(X50,Y50,"md") - SUM(AN50) &amp; " días"</f>
        <v>21 años 0 meses 15 días</v>
      </c>
      <c r="G50" s="149">
        <v>0.625</v>
      </c>
      <c r="H50" s="110" t="str">
        <f t="shared" ref="H50" si="18">DATEDIF(T50,S50,"y") &amp; " años " &amp; DATEDIF(T50,S50,"ym") &amp; " meses " &amp; DATEDIF(T50,S50,"md") &amp; " días"</f>
        <v>40 años 2 meses 1 días</v>
      </c>
      <c r="I50" s="110" t="str">
        <f t="shared" ref="I50" si="19">DATEDIF(U50,S50,"y") &amp; " años " &amp; DATEDIF(U50,S50,"ym") &amp; " meses " &amp; DATEDIF(U50,S50,"md") &amp; " días"</f>
        <v>6 años 3 meses 15 días</v>
      </c>
      <c r="J50" s="195"/>
      <c r="K50" s="196"/>
      <c r="L50" s="197"/>
      <c r="M50" s="151">
        <v>35000</v>
      </c>
      <c r="N50" s="115">
        <f>M50*G50</f>
        <v>21875</v>
      </c>
      <c r="O50" s="134" t="s">
        <v>2285</v>
      </c>
      <c r="P50" s="134" t="s">
        <v>33</v>
      </c>
      <c r="Q50" s="115" t="s">
        <v>338</v>
      </c>
      <c r="R50" s="145">
        <v>37408</v>
      </c>
      <c r="S50" s="146">
        <v>45093</v>
      </c>
      <c r="T50" s="145">
        <v>30421</v>
      </c>
      <c r="U50" s="145">
        <v>42795</v>
      </c>
      <c r="V50" s="116"/>
      <c r="W50" s="116"/>
      <c r="X50" s="116"/>
      <c r="Y50" s="116"/>
      <c r="Z50" s="52"/>
      <c r="AA50" s="52"/>
      <c r="AB50" s="52"/>
      <c r="AC50" s="117"/>
      <c r="AD50" s="118" t="s">
        <v>134</v>
      </c>
      <c r="AE50" s="164" t="s">
        <v>36</v>
      </c>
      <c r="AF50" s="165" t="s">
        <v>37</v>
      </c>
      <c r="AH50" s="118"/>
      <c r="AI50" s="118"/>
      <c r="AJ50" s="118"/>
      <c r="AL50" s="118"/>
      <c r="AM50" s="118"/>
      <c r="AN50" s="118"/>
    </row>
    <row r="51" spans="1:40" s="93" customFormat="1" ht="39.950000000000003" customHeight="1" x14ac:dyDescent="0.25">
      <c r="A51" s="110">
        <v>33</v>
      </c>
      <c r="B51" s="139"/>
      <c r="C51" s="140" t="s">
        <v>145</v>
      </c>
      <c r="D51" s="140" t="s">
        <v>2351</v>
      </c>
      <c r="E51" s="141" t="s">
        <v>2352</v>
      </c>
      <c r="F51" s="142" t="str">
        <f>DATEDIF(R51,S51,"y") + DATEDIF(V51,W51,"y") + DATEDIF(X51,Y51,"y") + SUM(AH51) &amp; " años " &amp; DATEDIF(R51,S51,"ym") + DATEDIF(V51,W51,"ym") + DATEDIF(X51,Y51,"ym") + SUM(AI51) - SUM(AM51) &amp; " meses " &amp; DATEDIF(R51,S51,"md") + DATEDIF(V51,W51,"md") + DATEDIF(X51,Y51,"md") - SUM(AN51) &amp; " días"</f>
        <v>26 años 3 meses 1 días</v>
      </c>
      <c r="G51" s="143">
        <v>0.75</v>
      </c>
      <c r="H51" s="110" t="str">
        <f>DATEDIF(T51,S51,"y") &amp; " años " &amp; DATEDIF(T51,S51,"ym") &amp; " meses " &amp; DATEDIF(T51,S51,"md") &amp; " días"</f>
        <v>45 años 0 meses 25 días</v>
      </c>
      <c r="I51" s="110" t="str">
        <f>DATEDIF(U51,S51,"y") &amp; " años " &amp; DATEDIF(U51,S51,"ym") &amp; " meses " &amp; DATEDIF(U51,S51,"md") &amp; " días"</f>
        <v>8 años 2 meses 1 días</v>
      </c>
      <c r="J51" s="195"/>
      <c r="K51" s="196"/>
      <c r="L51" s="197"/>
      <c r="M51" s="144">
        <v>31510.28</v>
      </c>
      <c r="N51" s="115">
        <f t="shared" ref="N51:N52" si="20">M51*G51</f>
        <v>23632.71</v>
      </c>
      <c r="O51" s="134"/>
      <c r="P51" s="134" t="s">
        <v>42</v>
      </c>
      <c r="Q51" s="115" t="s">
        <v>336</v>
      </c>
      <c r="R51" s="145">
        <v>35827</v>
      </c>
      <c r="S51" s="146">
        <v>45414</v>
      </c>
      <c r="T51" s="145">
        <v>28952</v>
      </c>
      <c r="U51" s="145">
        <v>42430</v>
      </c>
      <c r="V51" s="116"/>
      <c r="W51" s="116"/>
      <c r="X51" s="116"/>
      <c r="Y51" s="116"/>
      <c r="Z51" s="52"/>
      <c r="AA51" s="52"/>
      <c r="AB51" s="52"/>
      <c r="AC51" s="117"/>
      <c r="AD51" s="118" t="s">
        <v>35</v>
      </c>
      <c r="AE51" s="164" t="s">
        <v>36</v>
      </c>
      <c r="AF51" s="165" t="s">
        <v>37</v>
      </c>
      <c r="AH51" s="118"/>
      <c r="AI51" s="118"/>
      <c r="AJ51" s="118"/>
      <c r="AL51" s="118"/>
      <c r="AM51" s="118"/>
      <c r="AN51" s="118"/>
    </row>
    <row r="52" spans="1:40" s="93" customFormat="1" ht="39.950000000000003" customHeight="1" x14ac:dyDescent="0.25">
      <c r="A52" s="110">
        <v>34</v>
      </c>
      <c r="B52" s="139"/>
      <c r="C52" s="140" t="s">
        <v>145</v>
      </c>
      <c r="D52" s="140" t="s">
        <v>2353</v>
      </c>
      <c r="E52" s="141" t="s">
        <v>2354</v>
      </c>
      <c r="F52" s="142" t="str">
        <f>DATEDIF(R52,S52,"y") + DATEDIF(V52,W52,"y") + DATEDIF(X52,Y52,"y") + SUM(AH52) &amp; " años " &amp; DATEDIF(R52,S52,"ym") + DATEDIF(V52,W52,"ym") + DATEDIF(X52,Y52,"ym") + SUM(AI52) - SUM(AM52) &amp; " meses " &amp; DATEDIF(R52,S52,"md") + DATEDIF(V52,W52,"md") + DATEDIF(X52,Y52,"md") - SUM(AN52) &amp; " días"</f>
        <v>25 años 10 meses 10 días</v>
      </c>
      <c r="G52" s="143">
        <v>0.75</v>
      </c>
      <c r="H52" s="110" t="str">
        <f>DATEDIF(T52,S52,"y") &amp; " años " &amp; DATEDIF(T52,S52,"ym") &amp; " meses " &amp; DATEDIF(T52,S52,"md") &amp; " días"</f>
        <v>52 años 4 meses 5 días</v>
      </c>
      <c r="I52" s="110" t="str">
        <f>DATEDIF(U52,S52,"y") &amp; " años " &amp; DATEDIF(U52,S52,"ym") &amp; " meses " &amp; DATEDIF(U52,S52,"md") &amp; " días"</f>
        <v>8 años 2 meses 1 días</v>
      </c>
      <c r="J52" s="195"/>
      <c r="K52" s="196"/>
      <c r="L52" s="197"/>
      <c r="M52" s="144">
        <v>31510.28</v>
      </c>
      <c r="N52" s="115">
        <f t="shared" si="20"/>
        <v>23632.71</v>
      </c>
      <c r="O52" s="134"/>
      <c r="P52" s="134" t="s">
        <v>42</v>
      </c>
      <c r="Q52" s="115" t="s">
        <v>336</v>
      </c>
      <c r="R52" s="145">
        <v>37257</v>
      </c>
      <c r="S52" s="146">
        <v>45414</v>
      </c>
      <c r="T52" s="145">
        <v>26294</v>
      </c>
      <c r="U52" s="145">
        <v>42430</v>
      </c>
      <c r="V52" s="116">
        <v>32295</v>
      </c>
      <c r="W52" s="116">
        <v>32596</v>
      </c>
      <c r="X52" s="116">
        <v>35841</v>
      </c>
      <c r="Y52" s="116">
        <v>36825</v>
      </c>
      <c r="Z52" s="52"/>
      <c r="AA52" s="52"/>
      <c r="AB52" s="52"/>
      <c r="AC52" s="117"/>
      <c r="AD52" s="118" t="s">
        <v>190</v>
      </c>
      <c r="AE52" s="164" t="s">
        <v>36</v>
      </c>
      <c r="AF52" s="165" t="s">
        <v>37</v>
      </c>
      <c r="AH52" s="118">
        <v>1</v>
      </c>
      <c r="AI52" s="118">
        <v>1</v>
      </c>
      <c r="AJ52" s="118"/>
      <c r="AL52" s="118"/>
      <c r="AM52" s="118">
        <v>12</v>
      </c>
      <c r="AN52" s="118">
        <v>30</v>
      </c>
    </row>
    <row r="53" spans="1:40" s="93" customFormat="1" ht="39.950000000000003" customHeight="1" x14ac:dyDescent="0.25">
      <c r="A53" s="110">
        <v>35</v>
      </c>
      <c r="B53" s="110"/>
      <c r="C53" s="140" t="s">
        <v>145</v>
      </c>
      <c r="D53" s="140" t="s">
        <v>2355</v>
      </c>
      <c r="E53" s="157" t="s">
        <v>2356</v>
      </c>
      <c r="F53" s="142" t="str">
        <f>DATEDIF(R53,S53,"y") + DATEDIF(V53,W53,"y") + DATEDIF(X53,Y53,"y") + SUM(AH53) &amp; " años " &amp; DATEDIF(R53,S53,"ym") + DATEDIF(V53,W53,"ym") + DATEDIF(X53,Y53,"ym") + SUM(AI53) - SUM(AM53) &amp; " meses " &amp; DATEDIF(R53,S53,"md") + DATEDIF(V53,W53,"md") + DATEDIF(X53,Y53,"md") - SUM(AN53) &amp; " días"</f>
        <v>29 años 0 meses 0 días</v>
      </c>
      <c r="G53" s="143">
        <v>1</v>
      </c>
      <c r="H53" s="110" t="str">
        <f>DATEDIF(T53,S53,"y") &amp; " años " &amp; DATEDIF(T53,S53,"ym") &amp; " meses " &amp; DATEDIF(T53,S53,"md") &amp; " días"</f>
        <v>49 años 3 meses 26 días</v>
      </c>
      <c r="I53" s="110" t="str">
        <f>DATEDIF(U53,S53,"y") &amp; " años " &amp; DATEDIF(U53,S53,"ym") &amp; " meses " &amp; DATEDIF(U53,S53,"md") &amp; " días"</f>
        <v>10 años 7 meses 24 días</v>
      </c>
      <c r="J53" s="195" t="s">
        <v>13</v>
      </c>
      <c r="K53" s="196"/>
      <c r="L53" s="197"/>
      <c r="M53" s="151">
        <v>31510.28</v>
      </c>
      <c r="N53" s="115">
        <f>M53*G53</f>
        <v>31510.28</v>
      </c>
      <c r="O53" s="134" t="s">
        <v>205</v>
      </c>
      <c r="P53" s="134" t="s">
        <v>33</v>
      </c>
      <c r="Q53" s="115" t="s">
        <v>337</v>
      </c>
      <c r="R53" s="145">
        <v>34821</v>
      </c>
      <c r="S53" s="146">
        <v>45414</v>
      </c>
      <c r="T53" s="145">
        <v>27400</v>
      </c>
      <c r="U53" s="145">
        <v>41525</v>
      </c>
      <c r="V53" s="116"/>
      <c r="W53" s="116"/>
      <c r="X53" s="116"/>
      <c r="Y53" s="116"/>
      <c r="Z53" s="52"/>
      <c r="AA53" s="52"/>
      <c r="AB53" s="52"/>
      <c r="AC53" s="117"/>
      <c r="AD53" s="118" t="s">
        <v>35</v>
      </c>
      <c r="AE53" s="164" t="s">
        <v>36</v>
      </c>
      <c r="AF53" s="165" t="s">
        <v>37</v>
      </c>
      <c r="AH53" s="118"/>
      <c r="AI53" s="118"/>
      <c r="AJ53" s="118"/>
      <c r="AL53" s="118"/>
      <c r="AM53" s="118"/>
      <c r="AN53" s="118"/>
    </row>
    <row r="54" spans="1:40" s="93" customFormat="1" ht="39.950000000000003" customHeight="1" x14ac:dyDescent="0.25">
      <c r="A54" s="110">
        <v>36</v>
      </c>
      <c r="B54" s="110"/>
      <c r="C54" s="140" t="s">
        <v>2357</v>
      </c>
      <c r="D54" s="140" t="s">
        <v>2358</v>
      </c>
      <c r="E54" s="150" t="s">
        <v>2359</v>
      </c>
      <c r="F54" s="142" t="str">
        <f t="shared" ref="F54:F60" si="21">DATEDIF(R54,S54,"y") + DATEDIF(V54,W54,"y") + DATEDIF(X54,Y54,"y") + SUM(AH54) &amp; " años " &amp; DATEDIF(R54,S54,"ym") + DATEDIF(V54,W54,"ym") + DATEDIF(X54,Y54,"ym") + SUM(AI54) - SUM(AM54) &amp; " meses " &amp; DATEDIF(R54,S54,"md") + DATEDIF(V54,W54,"md") + DATEDIF(X54,Y54,"md") - SUM(AN54) &amp; " días"</f>
        <v>20 años 0 meses 2 días</v>
      </c>
      <c r="G54" s="149">
        <v>0.6</v>
      </c>
      <c r="H54" s="110" t="str">
        <f t="shared" ref="H54:H60" si="22">DATEDIF(T54,S54,"y") &amp; " años " &amp; DATEDIF(T54,S54,"ym") &amp; " meses " &amp; DATEDIF(T54,S54,"md") &amp; " días"</f>
        <v>54 años 1 meses 4 días</v>
      </c>
      <c r="I54" s="110" t="str">
        <f t="shared" ref="I54:I60" si="23">DATEDIF(U54,S54,"y") &amp; " años " &amp; DATEDIF(U54,S54,"ym") &amp; " meses " &amp; DATEDIF(U54,S54,"md") &amp; " días"</f>
        <v>6 años 11 meses 4 días</v>
      </c>
      <c r="J54" s="195"/>
      <c r="K54" s="196"/>
      <c r="L54" s="197"/>
      <c r="M54" s="151">
        <v>23826.3</v>
      </c>
      <c r="N54" s="115">
        <f>M54*G54</f>
        <v>14295.779999999999</v>
      </c>
      <c r="O54" s="134" t="s">
        <v>2360</v>
      </c>
      <c r="P54" s="134" t="s">
        <v>42</v>
      </c>
      <c r="Q54" s="115" t="s">
        <v>339</v>
      </c>
      <c r="R54" s="145">
        <v>38020</v>
      </c>
      <c r="S54" s="146">
        <v>45327</v>
      </c>
      <c r="T54" s="145">
        <v>25569</v>
      </c>
      <c r="U54" s="145">
        <v>42795</v>
      </c>
      <c r="V54" s="116"/>
      <c r="W54" s="116"/>
      <c r="X54" s="116"/>
      <c r="Y54" s="116"/>
      <c r="Z54" s="52"/>
      <c r="AA54" s="52"/>
      <c r="AB54" s="52"/>
      <c r="AC54" s="117"/>
      <c r="AD54" s="118" t="s">
        <v>134</v>
      </c>
      <c r="AE54" s="164" t="s">
        <v>36</v>
      </c>
      <c r="AF54" s="165" t="s">
        <v>37</v>
      </c>
      <c r="AH54" s="118"/>
      <c r="AI54" s="118"/>
      <c r="AJ54" s="118"/>
      <c r="AL54" s="118"/>
      <c r="AM54" s="118"/>
      <c r="AN54" s="118"/>
    </row>
    <row r="55" spans="1:40" s="93" customFormat="1" ht="39.950000000000003" customHeight="1" x14ac:dyDescent="0.25">
      <c r="A55" s="110">
        <v>37</v>
      </c>
      <c r="B55" s="110"/>
      <c r="C55" s="140" t="s">
        <v>2357</v>
      </c>
      <c r="D55" s="140" t="s">
        <v>2361</v>
      </c>
      <c r="E55" s="150" t="s">
        <v>2362</v>
      </c>
      <c r="F55" s="142" t="str">
        <f t="shared" si="21"/>
        <v>24 años 0 meses 0 días</v>
      </c>
      <c r="G55" s="149">
        <v>0.7</v>
      </c>
      <c r="H55" s="110" t="str">
        <f t="shared" si="22"/>
        <v>41 años 6 meses 19 días</v>
      </c>
      <c r="I55" s="110" t="str">
        <f t="shared" si="23"/>
        <v>2 años 11 meses 5 días</v>
      </c>
      <c r="J55" s="195"/>
      <c r="K55" s="196"/>
      <c r="L55" s="197"/>
      <c r="M55" s="151">
        <v>22588.39</v>
      </c>
      <c r="N55" s="115">
        <f t="shared" ref="N55:N60" si="24">M55*G55</f>
        <v>15811.872999999998</v>
      </c>
      <c r="O55" s="134" t="s">
        <v>2360</v>
      </c>
      <c r="P55" s="134" t="s">
        <v>42</v>
      </c>
      <c r="Q55" s="115" t="s">
        <v>339</v>
      </c>
      <c r="R55" s="145">
        <v>36557</v>
      </c>
      <c r="S55" s="146">
        <v>45323</v>
      </c>
      <c r="T55" s="145">
        <v>30145</v>
      </c>
      <c r="U55" s="145">
        <v>44254</v>
      </c>
      <c r="V55" s="116"/>
      <c r="W55" s="116"/>
      <c r="X55" s="116"/>
      <c r="Y55" s="116"/>
      <c r="Z55" s="52"/>
      <c r="AA55" s="52"/>
      <c r="AB55" s="52"/>
      <c r="AC55" s="117"/>
      <c r="AD55" s="118" t="s">
        <v>35</v>
      </c>
      <c r="AE55" s="164" t="s">
        <v>36</v>
      </c>
      <c r="AF55" s="165" t="s">
        <v>37</v>
      </c>
      <c r="AH55" s="118"/>
      <c r="AI55" s="118"/>
      <c r="AJ55" s="118"/>
      <c r="AL55" s="118"/>
      <c r="AM55" s="118"/>
      <c r="AN55" s="118"/>
    </row>
    <row r="56" spans="1:40" s="93" customFormat="1" ht="39.950000000000003" customHeight="1" x14ac:dyDescent="0.25">
      <c r="A56" s="110">
        <v>38</v>
      </c>
      <c r="B56" s="110"/>
      <c r="C56" s="140" t="s">
        <v>2357</v>
      </c>
      <c r="D56" s="140" t="s">
        <v>2363</v>
      </c>
      <c r="E56" s="150" t="s">
        <v>2364</v>
      </c>
      <c r="F56" s="142" t="str">
        <f t="shared" si="21"/>
        <v>20 años 0 meses 5 días</v>
      </c>
      <c r="G56" s="149">
        <v>0.6</v>
      </c>
      <c r="H56" s="110" t="str">
        <f t="shared" si="22"/>
        <v>39 años 8 meses 11 días</v>
      </c>
      <c r="I56" s="110" t="str">
        <f t="shared" si="23"/>
        <v>1 años 9 meses 16 días</v>
      </c>
      <c r="J56" s="195"/>
      <c r="K56" s="196"/>
      <c r="L56" s="197"/>
      <c r="M56" s="151">
        <f>22588.39+4400</f>
        <v>26988.39</v>
      </c>
      <c r="N56" s="115">
        <f t="shared" si="24"/>
        <v>16193.034</v>
      </c>
      <c r="O56" s="134" t="s">
        <v>2360</v>
      </c>
      <c r="P56" s="134" t="s">
        <v>42</v>
      </c>
      <c r="Q56" s="115" t="s">
        <v>339</v>
      </c>
      <c r="R56" s="145">
        <v>37963</v>
      </c>
      <c r="S56" s="146">
        <v>45273</v>
      </c>
      <c r="T56" s="145">
        <v>30774</v>
      </c>
      <c r="U56" s="145">
        <v>44619</v>
      </c>
      <c r="V56" s="116"/>
      <c r="W56" s="116"/>
      <c r="X56" s="116"/>
      <c r="Y56" s="116"/>
      <c r="Z56" s="52"/>
      <c r="AA56" s="52"/>
      <c r="AB56" s="52"/>
      <c r="AC56" s="117"/>
      <c r="AD56" s="118" t="s">
        <v>134</v>
      </c>
      <c r="AE56" s="164" t="s">
        <v>36</v>
      </c>
      <c r="AF56" s="165" t="s">
        <v>37</v>
      </c>
      <c r="AH56" s="118"/>
      <c r="AI56" s="118"/>
      <c r="AJ56" s="118"/>
      <c r="AL56" s="118"/>
      <c r="AM56" s="118"/>
      <c r="AN56" s="118"/>
    </row>
    <row r="57" spans="1:40" s="93" customFormat="1" ht="39.950000000000003" customHeight="1" x14ac:dyDescent="0.25">
      <c r="A57" s="110">
        <v>39</v>
      </c>
      <c r="B57" s="110"/>
      <c r="C57" s="140" t="s">
        <v>2357</v>
      </c>
      <c r="D57" s="140" t="s">
        <v>2365</v>
      </c>
      <c r="E57" s="150" t="s">
        <v>2366</v>
      </c>
      <c r="F57" s="142" t="str">
        <f t="shared" si="21"/>
        <v>20 años 0 meses 1 días</v>
      </c>
      <c r="G57" s="149">
        <v>0.6</v>
      </c>
      <c r="H57" s="110" t="str">
        <f t="shared" si="22"/>
        <v>42 años 0 meses 25 días</v>
      </c>
      <c r="I57" s="110" t="str">
        <f t="shared" si="23"/>
        <v>3 años 9 meses 9 días</v>
      </c>
      <c r="J57" s="195"/>
      <c r="K57" s="196"/>
      <c r="L57" s="197"/>
      <c r="M57" s="151">
        <v>22588.39</v>
      </c>
      <c r="N57" s="115">
        <f t="shared" si="24"/>
        <v>13553.034</v>
      </c>
      <c r="O57" s="134" t="s">
        <v>2360</v>
      </c>
      <c r="P57" s="134" t="s">
        <v>42</v>
      </c>
      <c r="Q57" s="115" t="s">
        <v>339</v>
      </c>
      <c r="R57" s="145">
        <v>37960</v>
      </c>
      <c r="S57" s="146">
        <v>45266</v>
      </c>
      <c r="T57" s="145">
        <v>29901</v>
      </c>
      <c r="U57" s="145">
        <v>43888</v>
      </c>
      <c r="V57" s="116"/>
      <c r="W57" s="116"/>
      <c r="X57" s="116"/>
      <c r="Y57" s="116"/>
      <c r="Z57" s="52"/>
      <c r="AA57" s="52"/>
      <c r="AB57" s="52"/>
      <c r="AC57" s="117"/>
      <c r="AD57" s="118" t="s">
        <v>134</v>
      </c>
      <c r="AE57" s="164" t="s">
        <v>36</v>
      </c>
      <c r="AF57" s="165" t="s">
        <v>37</v>
      </c>
      <c r="AH57" s="118"/>
      <c r="AI57" s="118"/>
      <c r="AJ57" s="118"/>
      <c r="AL57" s="118"/>
      <c r="AM57" s="118"/>
      <c r="AN57" s="118"/>
    </row>
    <row r="58" spans="1:40" s="93" customFormat="1" ht="39.950000000000003" customHeight="1" x14ac:dyDescent="0.25">
      <c r="A58" s="110">
        <v>40</v>
      </c>
      <c r="B58" s="110"/>
      <c r="C58" s="140" t="s">
        <v>2357</v>
      </c>
      <c r="D58" s="140" t="s">
        <v>2367</v>
      </c>
      <c r="E58" s="150" t="s">
        <v>2368</v>
      </c>
      <c r="F58" s="142" t="str">
        <f t="shared" si="21"/>
        <v>24 años 2 meses 20 días</v>
      </c>
      <c r="G58" s="149">
        <v>0.7</v>
      </c>
      <c r="H58" s="110" t="str">
        <f t="shared" si="22"/>
        <v>47 años 11 meses 9 días</v>
      </c>
      <c r="I58" s="110" t="str">
        <f t="shared" si="23"/>
        <v>7 años 6 meses 20 días</v>
      </c>
      <c r="J58" s="195"/>
      <c r="K58" s="196"/>
      <c r="L58" s="197"/>
      <c r="M58" s="151">
        <v>23826.3</v>
      </c>
      <c r="N58" s="115">
        <f t="shared" si="24"/>
        <v>16678.41</v>
      </c>
      <c r="O58" s="134" t="s">
        <v>2369</v>
      </c>
      <c r="P58" s="134" t="s">
        <v>42</v>
      </c>
      <c r="Q58" s="115" t="s">
        <v>339</v>
      </c>
      <c r="R58" s="145">
        <v>36342</v>
      </c>
      <c r="S58" s="146">
        <v>45190</v>
      </c>
      <c r="T58" s="145">
        <v>27679</v>
      </c>
      <c r="U58" s="145">
        <v>42430</v>
      </c>
      <c r="V58" s="116"/>
      <c r="W58" s="116"/>
      <c r="X58" s="116"/>
      <c r="Y58" s="116"/>
      <c r="Z58" s="52"/>
      <c r="AA58" s="52"/>
      <c r="AB58" s="52"/>
      <c r="AC58" s="117"/>
      <c r="AD58" s="118" t="s">
        <v>134</v>
      </c>
      <c r="AE58" s="164" t="s">
        <v>36</v>
      </c>
      <c r="AF58" s="165" t="s">
        <v>37</v>
      </c>
      <c r="AH58" s="118"/>
      <c r="AI58" s="118"/>
      <c r="AJ58" s="118"/>
      <c r="AL58" s="118"/>
      <c r="AM58" s="118"/>
      <c r="AN58" s="118"/>
    </row>
    <row r="59" spans="1:40" s="93" customFormat="1" ht="39.950000000000003" customHeight="1" x14ac:dyDescent="0.25">
      <c r="A59" s="110">
        <v>41</v>
      </c>
      <c r="B59" s="110"/>
      <c r="C59" s="140" t="s">
        <v>2357</v>
      </c>
      <c r="D59" s="140" t="s">
        <v>2370</v>
      </c>
      <c r="E59" s="141" t="s">
        <v>2371</v>
      </c>
      <c r="F59" s="142" t="str">
        <f t="shared" si="21"/>
        <v>25 años 8 meses 5 días</v>
      </c>
      <c r="G59" s="143">
        <v>0.75</v>
      </c>
      <c r="H59" s="110" t="str">
        <f t="shared" si="22"/>
        <v>50 años 0 meses 21 días</v>
      </c>
      <c r="I59" s="110" t="str">
        <f t="shared" si="23"/>
        <v>11 años 10 meses 21 días</v>
      </c>
      <c r="J59" s="195"/>
      <c r="K59" s="196"/>
      <c r="L59" s="197"/>
      <c r="M59" s="144">
        <v>23826.29</v>
      </c>
      <c r="N59" s="115">
        <f t="shared" si="24"/>
        <v>17869.717499999999</v>
      </c>
      <c r="O59" s="134" t="s">
        <v>2372</v>
      </c>
      <c r="P59" s="134" t="s">
        <v>33</v>
      </c>
      <c r="Q59" s="115" t="s">
        <v>339</v>
      </c>
      <c r="R59" s="145">
        <v>37316</v>
      </c>
      <c r="S59" s="146">
        <v>45313</v>
      </c>
      <c r="T59" s="145">
        <v>27030</v>
      </c>
      <c r="U59" s="145">
        <v>40969</v>
      </c>
      <c r="V59" s="116">
        <v>35674</v>
      </c>
      <c r="W59" s="116">
        <v>37057</v>
      </c>
      <c r="X59" s="116"/>
      <c r="Y59" s="116"/>
      <c r="Z59" s="52"/>
      <c r="AA59" s="52"/>
      <c r="AB59" s="52"/>
      <c r="AC59" s="117"/>
      <c r="AD59" s="118" t="s">
        <v>129</v>
      </c>
      <c r="AE59" s="164" t="s">
        <v>36</v>
      </c>
      <c r="AF59" s="165" t="s">
        <v>37</v>
      </c>
      <c r="AH59" s="118">
        <v>1</v>
      </c>
      <c r="AI59" s="118">
        <v>1</v>
      </c>
      <c r="AJ59" s="118"/>
      <c r="AL59" s="118"/>
      <c r="AM59" s="118">
        <v>12</v>
      </c>
      <c r="AN59" s="118">
        <v>30</v>
      </c>
    </row>
    <row r="60" spans="1:40" s="93" customFormat="1" ht="39.950000000000003" customHeight="1" x14ac:dyDescent="0.25">
      <c r="A60" s="110">
        <v>42</v>
      </c>
      <c r="B60" s="110"/>
      <c r="C60" s="140" t="s">
        <v>2357</v>
      </c>
      <c r="D60" s="140" t="s">
        <v>2373</v>
      </c>
      <c r="E60" s="150" t="s">
        <v>2374</v>
      </c>
      <c r="F60" s="142" t="str">
        <f t="shared" si="21"/>
        <v>21 años 8 meses 10 días</v>
      </c>
      <c r="G60" s="149">
        <v>0.65</v>
      </c>
      <c r="H60" s="110" t="str">
        <f t="shared" si="22"/>
        <v>40 años 1 meses 30 días</v>
      </c>
      <c r="I60" s="110" t="str">
        <f t="shared" si="23"/>
        <v>3 años 10 meses 15 días</v>
      </c>
      <c r="J60" s="195"/>
      <c r="K60" s="196"/>
      <c r="L60" s="197"/>
      <c r="M60" s="151">
        <v>22588.39</v>
      </c>
      <c r="N60" s="115">
        <f t="shared" si="24"/>
        <v>14682.4535</v>
      </c>
      <c r="O60" s="134" t="s">
        <v>2375</v>
      </c>
      <c r="P60" s="134" t="s">
        <v>33</v>
      </c>
      <c r="Q60" s="115" t="s">
        <v>339</v>
      </c>
      <c r="R60" s="145">
        <v>37377</v>
      </c>
      <c r="S60" s="146">
        <v>45302</v>
      </c>
      <c r="T60" s="145">
        <v>30632</v>
      </c>
      <c r="U60" s="145">
        <v>43888</v>
      </c>
      <c r="V60" s="116"/>
      <c r="W60" s="116"/>
      <c r="X60" s="116"/>
      <c r="Y60" s="116"/>
      <c r="Z60" s="52"/>
      <c r="AA60" s="52"/>
      <c r="AB60" s="52"/>
      <c r="AC60" s="117"/>
      <c r="AD60" s="118" t="s">
        <v>35</v>
      </c>
      <c r="AE60" s="164" t="s">
        <v>36</v>
      </c>
      <c r="AF60" s="165" t="s">
        <v>37</v>
      </c>
      <c r="AH60" s="118"/>
      <c r="AI60" s="118"/>
      <c r="AJ60" s="118"/>
      <c r="AL60" s="118"/>
      <c r="AM60" s="118"/>
      <c r="AN60" s="118"/>
    </row>
    <row r="61" spans="1:40" s="93" customFormat="1" ht="39.950000000000003" customHeight="1" x14ac:dyDescent="0.25">
      <c r="A61" s="110">
        <v>43</v>
      </c>
      <c r="B61" s="110"/>
      <c r="C61" s="148" t="s">
        <v>1314</v>
      </c>
      <c r="D61" s="152" t="s">
        <v>2376</v>
      </c>
      <c r="E61" s="153" t="s">
        <v>2377</v>
      </c>
      <c r="F61" s="142" t="str">
        <f>DATEDIF(R61,S61,"y") + DATEDIF(V61,W61,"y") + DATEDIF(X61,Y61,"y") + SUM(AH61) &amp; " años " &amp; DATEDIF(R61,S61,"ym") + DATEDIF(V61,W61,"ym") + DATEDIF(X61,Y61,"ym") + SUM(AI61) - SUM(AM61) &amp; " meses " &amp; DATEDIF(R61,S61,"md") + DATEDIF(V61,W61,"md") + DATEDIF(X61,Y61,"md") - SUM(AN61) &amp; " días"</f>
        <v>32 años 1 meses 1 días</v>
      </c>
      <c r="G61" s="143">
        <v>1</v>
      </c>
      <c r="H61" s="110" t="str">
        <f>DATEDIF(T61,S61,"y") &amp; " años " &amp; DATEDIF(T61,S61,"ym") &amp; " meses " &amp; DATEDIF(T61,S61,"md") &amp; " días"</f>
        <v>47 años 11 meses 22 días</v>
      </c>
      <c r="I61" s="110" t="str">
        <f>DATEDIF(U61,S61,"y") &amp; " años " &amp; DATEDIF(U61,S61,"ym") &amp; " meses " &amp; DATEDIF(U61,S61,"md") &amp; " días"</f>
        <v>13 años 2 meses 1 días</v>
      </c>
      <c r="J61" s="195" t="s">
        <v>13</v>
      </c>
      <c r="K61" s="196"/>
      <c r="L61" s="197"/>
      <c r="M61" s="115">
        <v>30394.94</v>
      </c>
      <c r="N61" s="115">
        <f>M61*G61</f>
        <v>30394.94</v>
      </c>
      <c r="O61" s="134" t="s">
        <v>205</v>
      </c>
      <c r="P61" s="134" t="s">
        <v>33</v>
      </c>
      <c r="Q61" s="115" t="s">
        <v>337</v>
      </c>
      <c r="R61" s="154">
        <v>33695</v>
      </c>
      <c r="S61" s="154">
        <v>45414</v>
      </c>
      <c r="T61" s="155">
        <v>27890</v>
      </c>
      <c r="U61" s="155">
        <v>40603</v>
      </c>
      <c r="V61" s="116"/>
      <c r="W61" s="116"/>
      <c r="X61" s="116"/>
      <c r="Y61" s="116"/>
      <c r="Z61"/>
      <c r="AA61"/>
      <c r="AB61"/>
      <c r="AC61" s="117"/>
      <c r="AD61" s="118" t="s">
        <v>268</v>
      </c>
      <c r="AE61" s="164" t="s">
        <v>36</v>
      </c>
      <c r="AF61" s="165" t="s">
        <v>37</v>
      </c>
      <c r="AH61" s="118"/>
      <c r="AI61" s="118"/>
      <c r="AJ61" s="118"/>
      <c r="AL61" s="118"/>
      <c r="AM61" s="118"/>
      <c r="AN61" s="118"/>
    </row>
    <row r="62" spans="1:40" s="93" customFormat="1" ht="39.950000000000003" customHeight="1" x14ac:dyDescent="0.25">
      <c r="A62" s="110">
        <v>44</v>
      </c>
      <c r="B62" s="110"/>
      <c r="C62" s="140" t="s">
        <v>176</v>
      </c>
      <c r="D62" s="140" t="s">
        <v>2378</v>
      </c>
      <c r="E62" s="141" t="s">
        <v>2379</v>
      </c>
      <c r="F62" s="142" t="str">
        <f t="shared" ref="F62:F63" si="25">DATEDIF(R62,S62,"y") + DATEDIF(V62,W62,"y") + DATEDIF(X62,Y62,"y") + SUM(AH62) &amp; " años " &amp; DATEDIF(R62,S62,"ym") + DATEDIF(V62,W62,"ym") + DATEDIF(X62,Y62,"ym") + SUM(AI62) - SUM(AM62) &amp; " meses " &amp; DATEDIF(R62,S62,"md") + DATEDIF(V62,W62,"md") + DATEDIF(X62,Y62,"md") - SUM(AN62) &amp; " días"</f>
        <v>23 años 11 meses 20 días</v>
      </c>
      <c r="G62" s="149">
        <v>0.7</v>
      </c>
      <c r="H62" s="110" t="str">
        <f t="shared" ref="H62:H64" si="26">DATEDIF(T62,S62,"y") &amp; " años " &amp; DATEDIF(T62,S62,"ym") &amp; " meses " &amp; DATEDIF(T62,S62,"md") &amp; " días"</f>
        <v>42 años 8 meses 1 días</v>
      </c>
      <c r="I62" s="110" t="str">
        <f t="shared" ref="I62:I63" si="27">DATEDIF(U62,S62,"y") &amp; " años " &amp; DATEDIF(U62,S62,"ym") &amp; " meses " &amp; DATEDIF(U62,S62,"md") &amp; " días"</f>
        <v>6 años 5 meses 25 días</v>
      </c>
      <c r="J62" s="195"/>
      <c r="K62" s="196"/>
      <c r="L62" s="197"/>
      <c r="M62" s="151"/>
      <c r="N62" s="115">
        <v>10000</v>
      </c>
      <c r="O62" s="134" t="s">
        <v>2380</v>
      </c>
      <c r="P62" s="134" t="s">
        <v>33</v>
      </c>
      <c r="Q62" s="115" t="s">
        <v>339</v>
      </c>
      <c r="R62" s="145">
        <v>27273</v>
      </c>
      <c r="S62" s="146">
        <v>36028</v>
      </c>
      <c r="T62" s="145">
        <v>20443</v>
      </c>
      <c r="U62" s="145">
        <v>33661</v>
      </c>
      <c r="V62" s="116"/>
      <c r="W62" s="116"/>
      <c r="X62" s="116"/>
      <c r="Y62" s="116"/>
      <c r="Z62" s="52"/>
      <c r="AA62" s="52"/>
      <c r="AB62" s="52"/>
      <c r="AC62" s="117"/>
      <c r="AD62" s="118" t="s">
        <v>134</v>
      </c>
      <c r="AE62" s="164" t="s">
        <v>36</v>
      </c>
      <c r="AF62" s="165" t="s">
        <v>37</v>
      </c>
      <c r="AH62" s="118"/>
      <c r="AI62" s="118"/>
      <c r="AJ62" s="118"/>
      <c r="AL62" s="118"/>
      <c r="AM62" s="118"/>
      <c r="AN62" s="118"/>
    </row>
    <row r="63" spans="1:40" s="93" customFormat="1" ht="39.950000000000003" customHeight="1" x14ac:dyDescent="0.25">
      <c r="A63" s="110">
        <v>45</v>
      </c>
      <c r="B63" s="110"/>
      <c r="C63" s="140" t="s">
        <v>176</v>
      </c>
      <c r="D63" s="140" t="s">
        <v>2381</v>
      </c>
      <c r="E63" s="141" t="s">
        <v>2382</v>
      </c>
      <c r="F63" s="142" t="str">
        <f t="shared" si="25"/>
        <v>20 años 0 meses 2 días</v>
      </c>
      <c r="G63" s="149">
        <v>0.6</v>
      </c>
      <c r="H63" s="110" t="str">
        <f t="shared" si="26"/>
        <v>41 años 1 meses 13 días</v>
      </c>
      <c r="I63" s="110" t="str">
        <f t="shared" si="27"/>
        <v>12 años 5 meses 20 días</v>
      </c>
      <c r="J63" s="195" t="s">
        <v>13</v>
      </c>
      <c r="K63" s="196"/>
      <c r="L63" s="197"/>
      <c r="M63" s="151">
        <v>22588.39</v>
      </c>
      <c r="N63" s="115">
        <f t="shared" ref="N63" si="28">M63*G63</f>
        <v>13553.034</v>
      </c>
      <c r="O63" s="134" t="s">
        <v>2360</v>
      </c>
      <c r="P63" s="134" t="s">
        <v>2383</v>
      </c>
      <c r="Q63" s="115" t="s">
        <v>339</v>
      </c>
      <c r="R63" s="145">
        <v>38020</v>
      </c>
      <c r="S63" s="146">
        <v>45327</v>
      </c>
      <c r="T63" s="145">
        <v>30308</v>
      </c>
      <c r="U63" s="145">
        <v>40771</v>
      </c>
      <c r="V63" s="116"/>
      <c r="W63" s="116"/>
      <c r="X63" s="116"/>
      <c r="Y63" s="116"/>
      <c r="Z63" s="52"/>
      <c r="AA63" s="52"/>
      <c r="AB63" s="52"/>
      <c r="AC63" s="117"/>
      <c r="AD63" s="118" t="s">
        <v>134</v>
      </c>
      <c r="AE63" s="164" t="s">
        <v>36</v>
      </c>
      <c r="AF63" s="165" t="s">
        <v>37</v>
      </c>
      <c r="AH63" s="118"/>
      <c r="AI63" s="118"/>
      <c r="AJ63" s="118"/>
      <c r="AL63" s="118"/>
      <c r="AM63" s="118"/>
      <c r="AN63" s="118"/>
    </row>
    <row r="64" spans="1:40" s="93" customFormat="1" ht="39.950000000000003" customHeight="1" x14ac:dyDescent="0.25">
      <c r="A64" s="110">
        <v>46</v>
      </c>
      <c r="B64" s="110"/>
      <c r="C64" s="140" t="s">
        <v>230</v>
      </c>
      <c r="D64" s="140" t="s">
        <v>2384</v>
      </c>
      <c r="E64" s="150" t="s">
        <v>2385</v>
      </c>
      <c r="F64" s="142" t="str">
        <f t="shared" ref="F64" si="29">DATEDIF(R64,S64,"y") + DATEDIF(V64,W64,"y") + DATEDIF(X64,Y64,"y") + SUM(AH64) &amp; " años " &amp; DATEDIF(R64,S64,"ym") + DATEDIF(V64,W64,"ym") + DATEDIF(X64,Y64,"ym") + SUM(AI64) - SUM(AM64) &amp; " meses " &amp; DATEDIF(R64,S64,"md") + DATEDIF(V64,W64,"md") + DATEDIF(X64,Y64,"md") - SUM(AN64) &amp; " días"</f>
        <v>20 años 6 meses 6 días</v>
      </c>
      <c r="G64" s="149">
        <v>0.625</v>
      </c>
      <c r="H64" s="110" t="str">
        <f t="shared" si="26"/>
        <v>40 años 5 meses 19 días</v>
      </c>
      <c r="I64" s="110"/>
      <c r="J64" s="195"/>
      <c r="K64" s="196"/>
      <c r="L64" s="197"/>
      <c r="M64" s="151">
        <v>12861.24</v>
      </c>
      <c r="N64" s="115">
        <v>10000</v>
      </c>
      <c r="O64" s="134" t="s">
        <v>2285</v>
      </c>
      <c r="P64" s="134" t="s">
        <v>33</v>
      </c>
      <c r="Q64" s="115" t="s">
        <v>338</v>
      </c>
      <c r="R64" s="145">
        <v>38421</v>
      </c>
      <c r="S64" s="146">
        <v>43789</v>
      </c>
      <c r="T64" s="145">
        <v>29007</v>
      </c>
      <c r="U64" s="145"/>
      <c r="V64" s="116">
        <v>35674</v>
      </c>
      <c r="W64" s="116">
        <v>37799</v>
      </c>
      <c r="X64" s="116"/>
      <c r="Y64" s="116"/>
      <c r="Z64" s="52"/>
      <c r="AA64" s="52"/>
      <c r="AB64" s="52"/>
      <c r="AC64" s="117"/>
      <c r="AD64" s="118" t="s">
        <v>35</v>
      </c>
      <c r="AE64" s="164" t="s">
        <v>36</v>
      </c>
      <c r="AF64" s="165" t="s">
        <v>37</v>
      </c>
      <c r="AH64" s="118">
        <v>1</v>
      </c>
      <c r="AI64" s="118">
        <v>1</v>
      </c>
      <c r="AJ64" s="118"/>
      <c r="AL64" s="118"/>
      <c r="AM64" s="118">
        <v>12</v>
      </c>
      <c r="AN64" s="118">
        <v>30</v>
      </c>
    </row>
    <row r="66" spans="1:40" s="91" customFormat="1" ht="15" hidden="1" customHeight="1" x14ac:dyDescent="0.25">
      <c r="A66" s="184" t="s">
        <v>184</v>
      </c>
      <c r="B66" s="185"/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6"/>
      <c r="O66" s="106"/>
      <c r="P66" s="107"/>
      <c r="Q66" s="107"/>
      <c r="R66" s="107"/>
      <c r="S66" s="90"/>
      <c r="T66" s="90"/>
      <c r="Z66" s="52"/>
      <c r="AA66" s="52"/>
      <c r="AB66" s="52"/>
      <c r="AD66" s="92"/>
      <c r="AG66" s="93"/>
      <c r="AH66" s="187" t="s">
        <v>2</v>
      </c>
      <c r="AI66" s="188"/>
      <c r="AJ66" s="189"/>
      <c r="AL66" s="187" t="s">
        <v>3</v>
      </c>
      <c r="AM66" s="188"/>
      <c r="AN66" s="189"/>
    </row>
    <row r="67" spans="1:40" s="104" customFormat="1" ht="42.75" hidden="1" customHeight="1" x14ac:dyDescent="0.25">
      <c r="A67" s="94" t="s">
        <v>4</v>
      </c>
      <c r="B67" s="94" t="s">
        <v>5</v>
      </c>
      <c r="C67" s="95" t="s">
        <v>6</v>
      </c>
      <c r="D67" s="95" t="s">
        <v>7</v>
      </c>
      <c r="E67" s="94" t="s">
        <v>8</v>
      </c>
      <c r="F67" s="96" t="s">
        <v>9</v>
      </c>
      <c r="G67" s="96" t="s">
        <v>10</v>
      </c>
      <c r="H67" s="95" t="s">
        <v>11</v>
      </c>
      <c r="I67" s="97" t="s">
        <v>12</v>
      </c>
      <c r="J67" s="182" t="s">
        <v>1952</v>
      </c>
      <c r="K67" s="183"/>
      <c r="L67" s="95"/>
      <c r="M67" s="99" t="s">
        <v>15</v>
      </c>
      <c r="N67" s="99" t="s">
        <v>16</v>
      </c>
      <c r="O67" s="99"/>
      <c r="P67" s="99"/>
      <c r="Q67" s="99"/>
      <c r="R67" s="99"/>
      <c r="S67" s="99" t="s">
        <v>19</v>
      </c>
      <c r="T67" s="99" t="s">
        <v>20</v>
      </c>
      <c r="U67" s="99" t="s">
        <v>21</v>
      </c>
      <c r="V67" s="99" t="s">
        <v>13</v>
      </c>
      <c r="W67" s="99" t="s">
        <v>19</v>
      </c>
      <c r="X67" s="99" t="s">
        <v>20</v>
      </c>
      <c r="Y67" s="99" t="s">
        <v>19</v>
      </c>
      <c r="Z67" s="99" t="s">
        <v>20</v>
      </c>
      <c r="AA67" s="52"/>
      <c r="AB67" s="52"/>
      <c r="AC67" s="102"/>
      <c r="AD67" s="108" t="s">
        <v>22</v>
      </c>
      <c r="AE67" s="108" t="s">
        <v>23</v>
      </c>
      <c r="AF67" s="108" t="s">
        <v>24</v>
      </c>
      <c r="AG67" s="93"/>
      <c r="AH67" s="109" t="s">
        <v>25</v>
      </c>
      <c r="AI67" s="109" t="s">
        <v>26</v>
      </c>
      <c r="AJ67" s="109" t="s">
        <v>27</v>
      </c>
      <c r="AK67" s="93"/>
      <c r="AL67" s="109" t="s">
        <v>25</v>
      </c>
      <c r="AM67" s="109" t="s">
        <v>26</v>
      </c>
      <c r="AN67" s="109" t="s">
        <v>28</v>
      </c>
    </row>
    <row r="68" spans="1:40" s="93" customFormat="1" ht="15" hidden="1" customHeight="1" x14ac:dyDescent="0.25">
      <c r="A68" s="110">
        <v>0</v>
      </c>
      <c r="B68" s="110"/>
      <c r="C68" s="111"/>
      <c r="D68" s="112"/>
      <c r="E68" s="113"/>
      <c r="F68" s="110"/>
      <c r="G68" s="114"/>
      <c r="H68" s="110"/>
      <c r="I68" s="110"/>
      <c r="J68" s="190"/>
      <c r="K68" s="190"/>
      <c r="L68" s="115"/>
      <c r="M68" s="115"/>
      <c r="N68" s="115"/>
      <c r="O68" s="115"/>
      <c r="P68" s="115"/>
      <c r="Q68" s="115"/>
      <c r="R68" s="115"/>
      <c r="S68" s="116"/>
      <c r="T68" s="116"/>
      <c r="U68" s="116"/>
      <c r="V68" s="116"/>
      <c r="W68" s="116"/>
      <c r="X68" s="116"/>
      <c r="Y68" s="116"/>
      <c r="Z68" s="116"/>
      <c r="AA68" s="52"/>
      <c r="AB68" s="52"/>
      <c r="AC68" s="117"/>
      <c r="AD68" s="118"/>
      <c r="AE68" s="119"/>
      <c r="AF68" s="120"/>
      <c r="AH68" s="118"/>
      <c r="AI68" s="118"/>
      <c r="AJ68" s="118"/>
      <c r="AL68" s="118"/>
      <c r="AM68" s="118"/>
      <c r="AN68" s="118"/>
    </row>
    <row r="69" spans="1:40" s="129" customFormat="1" ht="15" hidden="1" customHeight="1" x14ac:dyDescent="0.25">
      <c r="A69" s="192" t="s">
        <v>1953</v>
      </c>
      <c r="B69" s="193"/>
      <c r="C69" s="193"/>
      <c r="D69" s="193"/>
      <c r="E69" s="193"/>
      <c r="F69" s="193"/>
      <c r="G69" s="194"/>
      <c r="H69" s="121">
        <f>A68</f>
        <v>0</v>
      </c>
      <c r="I69" s="192" t="s">
        <v>1954</v>
      </c>
      <c r="J69" s="193"/>
      <c r="K69" s="193"/>
      <c r="L69" s="194"/>
      <c r="M69" s="122">
        <f>SUM(M68)</f>
        <v>0</v>
      </c>
      <c r="N69" s="123"/>
      <c r="O69" s="123"/>
      <c r="P69" s="123"/>
      <c r="Q69" s="124"/>
      <c r="R69" s="124"/>
      <c r="S69" s="125"/>
      <c r="T69" s="125"/>
      <c r="U69" s="126"/>
      <c r="V69" s="127"/>
      <c r="W69" s="127"/>
      <c r="X69" s="127"/>
      <c r="Y69" s="127"/>
      <c r="Z69" s="127"/>
      <c r="AA69" s="52"/>
      <c r="AB69" s="52"/>
      <c r="AC69" s="127"/>
      <c r="AD69" s="128"/>
      <c r="AE69" s="127"/>
      <c r="AF69" s="127"/>
      <c r="AG69" s="93"/>
    </row>
    <row r="70" spans="1:40" hidden="1" x14ac:dyDescent="0.25"/>
    <row r="71" spans="1:40" s="91" customFormat="1" x14ac:dyDescent="0.25">
      <c r="A71" s="191" t="s">
        <v>184</v>
      </c>
      <c r="B71" s="191"/>
      <c r="C71" s="191"/>
      <c r="D71" s="191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38"/>
      <c r="S71" s="90"/>
      <c r="T71" s="90"/>
      <c r="Z71" s="52"/>
      <c r="AA71" s="52"/>
      <c r="AB71" s="52"/>
      <c r="AD71" s="92"/>
      <c r="AG71" s="93"/>
      <c r="AH71" s="181" t="s">
        <v>2</v>
      </c>
      <c r="AI71" s="181"/>
      <c r="AJ71" s="181"/>
      <c r="AL71" s="181" t="s">
        <v>3</v>
      </c>
      <c r="AM71" s="181"/>
      <c r="AN71" s="181"/>
    </row>
    <row r="72" spans="1:40" s="104" customFormat="1" ht="30" customHeight="1" x14ac:dyDescent="0.25">
      <c r="A72" s="94" t="s">
        <v>4</v>
      </c>
      <c r="B72" s="94" t="s">
        <v>5</v>
      </c>
      <c r="C72" s="95" t="s">
        <v>6</v>
      </c>
      <c r="D72" s="95" t="s">
        <v>7</v>
      </c>
      <c r="E72" s="94" t="s">
        <v>8</v>
      </c>
      <c r="F72" s="96" t="s">
        <v>9</v>
      </c>
      <c r="G72" s="96" t="s">
        <v>10</v>
      </c>
      <c r="H72" s="95" t="s">
        <v>11</v>
      </c>
      <c r="I72" s="97" t="s">
        <v>12</v>
      </c>
      <c r="J72" s="182" t="s">
        <v>13</v>
      </c>
      <c r="K72" s="183"/>
      <c r="L72" s="98" t="s">
        <v>14</v>
      </c>
      <c r="M72" s="99" t="s">
        <v>15</v>
      </c>
      <c r="N72" s="99" t="s">
        <v>17</v>
      </c>
      <c r="O72" s="99" t="s">
        <v>18</v>
      </c>
      <c r="P72" s="99" t="s">
        <v>18</v>
      </c>
      <c r="Q72" s="99" t="s">
        <v>335</v>
      </c>
      <c r="R72" s="99" t="s">
        <v>1950</v>
      </c>
      <c r="S72" s="100" t="s">
        <v>19</v>
      </c>
      <c r="T72" s="100" t="s">
        <v>20</v>
      </c>
      <c r="U72" s="101" t="s">
        <v>21</v>
      </c>
      <c r="V72" s="95" t="s">
        <v>13</v>
      </c>
      <c r="W72" s="100" t="s">
        <v>19</v>
      </c>
      <c r="X72" s="100" t="s">
        <v>20</v>
      </c>
      <c r="Y72" s="100" t="s">
        <v>19</v>
      </c>
      <c r="Z72" s="100" t="s">
        <v>20</v>
      </c>
      <c r="AA72" s="52"/>
      <c r="AB72" s="52"/>
      <c r="AC72" s="102"/>
      <c r="AD72" s="100" t="s">
        <v>22</v>
      </c>
      <c r="AE72" s="100" t="s">
        <v>23</v>
      </c>
      <c r="AF72" s="100" t="s">
        <v>24</v>
      </c>
      <c r="AG72" s="93"/>
      <c r="AH72" s="103" t="s">
        <v>25</v>
      </c>
      <c r="AI72" s="103" t="s">
        <v>26</v>
      </c>
      <c r="AJ72" s="103" t="s">
        <v>27</v>
      </c>
      <c r="AK72" s="93"/>
      <c r="AL72" s="103" t="s">
        <v>25</v>
      </c>
      <c r="AM72" s="103" t="s">
        <v>26</v>
      </c>
      <c r="AN72" s="103" t="s">
        <v>28</v>
      </c>
    </row>
    <row r="73" spans="1:40" s="93" customFormat="1" ht="39.950000000000003" customHeight="1" x14ac:dyDescent="0.25">
      <c r="A73" s="110">
        <v>1</v>
      </c>
      <c r="B73" s="139"/>
      <c r="C73" s="140" t="s">
        <v>578</v>
      </c>
      <c r="D73" s="140" t="s">
        <v>2386</v>
      </c>
      <c r="E73" s="141" t="s">
        <v>2387</v>
      </c>
      <c r="F73" s="142" t="str">
        <f t="shared" ref="F73:F90" si="30">DATEDIF(R73,S73,"y") + DATEDIF(V73,W73,"y") + DATEDIF(X73,Y73,"y") + SUM(AH73) &amp; " años " &amp; DATEDIF(R73,S73,"ym") + DATEDIF(V73,W73,"ym") + DATEDIF(X73,Y73,"ym") + SUM(AI73) - SUM(AM73) &amp; " meses " &amp; DATEDIF(R73,S73,"md") + DATEDIF(V73,W73,"md") + DATEDIF(X73,Y73,"md") - SUM(AN73) &amp; " días"</f>
        <v>39 años 9 meses 1 días</v>
      </c>
      <c r="G73" s="143">
        <v>1</v>
      </c>
      <c r="H73" s="110" t="str">
        <f t="shared" ref="H73:H90" si="31">DATEDIF(T73,S73,"y") &amp; " años " &amp; DATEDIF(T73,S73,"ym") &amp; " meses " &amp; DATEDIF(T73,S73,"md") &amp; " días"</f>
        <v>59 años 8 meses 5 días</v>
      </c>
      <c r="I73" s="110" t="str">
        <f t="shared" ref="I73:I93" si="32">DATEDIF(U73,S73,"y") &amp; " años " &amp; DATEDIF(U73,S73,"ym") &amp; " meses " &amp; DATEDIF(U73,S73,"md") &amp; " días"</f>
        <v>6 años 2 meses 5 días</v>
      </c>
      <c r="J73" s="195"/>
      <c r="K73" s="196"/>
      <c r="L73" s="197"/>
      <c r="M73" s="144">
        <f>50275.72+25000</f>
        <v>75275.72</v>
      </c>
      <c r="N73" s="115">
        <f>M73*G73</f>
        <v>75275.72</v>
      </c>
      <c r="O73" s="134"/>
      <c r="P73" s="134" t="s">
        <v>2383</v>
      </c>
      <c r="Q73" s="115" t="s">
        <v>336</v>
      </c>
      <c r="R73" s="145">
        <v>30895</v>
      </c>
      <c r="S73" s="146">
        <v>45414</v>
      </c>
      <c r="T73" s="145">
        <v>23616</v>
      </c>
      <c r="U73" s="145">
        <v>43158</v>
      </c>
      <c r="V73" s="116"/>
      <c r="W73" s="116"/>
      <c r="X73" s="116"/>
      <c r="Y73" s="116"/>
      <c r="Z73" s="52"/>
      <c r="AA73" s="52"/>
      <c r="AB73" s="52"/>
      <c r="AC73" s="117"/>
      <c r="AD73" s="118" t="s">
        <v>268</v>
      </c>
      <c r="AE73" s="164" t="s">
        <v>36</v>
      </c>
      <c r="AF73" s="165" t="s">
        <v>37</v>
      </c>
      <c r="AH73" s="118"/>
      <c r="AI73" s="118"/>
      <c r="AJ73" s="118"/>
      <c r="AL73" s="118"/>
      <c r="AM73" s="118"/>
      <c r="AN73" s="118"/>
    </row>
    <row r="74" spans="1:40" s="93" customFormat="1" ht="39.950000000000003" customHeight="1" x14ac:dyDescent="0.25">
      <c r="A74" s="110">
        <v>2</v>
      </c>
      <c r="B74" s="139"/>
      <c r="C74" s="140" t="s">
        <v>581</v>
      </c>
      <c r="D74" s="140" t="s">
        <v>2388</v>
      </c>
      <c r="E74" s="141" t="s">
        <v>2389</v>
      </c>
      <c r="F74" s="142" t="str">
        <f t="shared" si="30"/>
        <v>35 años 4 meses 1 días</v>
      </c>
      <c r="G74" s="149">
        <v>1</v>
      </c>
      <c r="H74" s="110" t="str">
        <f t="shared" si="31"/>
        <v>54 años 5 meses 28 días</v>
      </c>
      <c r="I74" s="110" t="str">
        <f t="shared" si="32"/>
        <v>4 años 2 meses 5 días</v>
      </c>
      <c r="J74" s="195"/>
      <c r="K74" s="196"/>
      <c r="L74" s="197"/>
      <c r="M74" s="144">
        <v>70000</v>
      </c>
      <c r="N74" s="115">
        <f>M74*G74</f>
        <v>70000</v>
      </c>
      <c r="O74" s="134"/>
      <c r="P74" s="134" t="s">
        <v>2383</v>
      </c>
      <c r="Q74" s="115" t="s">
        <v>336</v>
      </c>
      <c r="R74" s="145">
        <v>32509</v>
      </c>
      <c r="S74" s="146">
        <v>45414</v>
      </c>
      <c r="T74" s="145">
        <v>25511</v>
      </c>
      <c r="U74" s="145">
        <v>43888</v>
      </c>
      <c r="V74" s="116"/>
      <c r="W74" s="116"/>
      <c r="X74" s="116"/>
      <c r="Y74" s="116"/>
      <c r="Z74" s="52"/>
      <c r="AA74" s="52"/>
      <c r="AB74" s="52"/>
      <c r="AC74" s="117"/>
      <c r="AD74" s="118" t="s">
        <v>35</v>
      </c>
      <c r="AE74" s="164" t="s">
        <v>36</v>
      </c>
      <c r="AF74" s="165" t="s">
        <v>37</v>
      </c>
      <c r="AH74" s="118"/>
      <c r="AI74" s="118"/>
      <c r="AJ74" s="118"/>
      <c r="AL74" s="118"/>
      <c r="AM74" s="118"/>
      <c r="AN74" s="118"/>
    </row>
    <row r="75" spans="1:40" s="93" customFormat="1" ht="39.950000000000003" customHeight="1" x14ac:dyDescent="0.25">
      <c r="A75" s="110">
        <v>3</v>
      </c>
      <c r="B75" s="139"/>
      <c r="C75" s="140" t="s">
        <v>581</v>
      </c>
      <c r="D75" s="140" t="s">
        <v>2390</v>
      </c>
      <c r="E75" s="141" t="s">
        <v>2391</v>
      </c>
      <c r="F75" s="142" t="str">
        <f t="shared" si="30"/>
        <v>35 años 5 meses 17 días</v>
      </c>
      <c r="G75" s="143">
        <v>1</v>
      </c>
      <c r="H75" s="110" t="str">
        <f t="shared" si="31"/>
        <v>55 años 2 meses 11 días</v>
      </c>
      <c r="I75" s="110" t="str">
        <f t="shared" si="32"/>
        <v>5 años 2 meses 5 días</v>
      </c>
      <c r="J75" s="195"/>
      <c r="K75" s="196"/>
      <c r="L75" s="197"/>
      <c r="M75" s="144">
        <v>42907.519999999997</v>
      </c>
      <c r="N75" s="115">
        <f>M75*G75</f>
        <v>42907.519999999997</v>
      </c>
      <c r="O75" s="134"/>
      <c r="P75" s="134" t="s">
        <v>2383</v>
      </c>
      <c r="Q75" s="115" t="s">
        <v>336</v>
      </c>
      <c r="R75" s="145">
        <v>32462</v>
      </c>
      <c r="S75" s="146">
        <v>45414</v>
      </c>
      <c r="T75" s="145">
        <v>25255</v>
      </c>
      <c r="U75" s="145">
        <v>43523</v>
      </c>
      <c r="V75" s="116"/>
      <c r="W75" s="116"/>
      <c r="X75" s="116"/>
      <c r="Y75" s="116"/>
      <c r="Z75" s="52"/>
      <c r="AA75" s="52"/>
      <c r="AB75" s="52"/>
      <c r="AC75" s="117"/>
      <c r="AD75" s="118" t="s">
        <v>2328</v>
      </c>
      <c r="AE75" s="164" t="s">
        <v>36</v>
      </c>
      <c r="AF75" s="165" t="s">
        <v>37</v>
      </c>
      <c r="AH75" s="118"/>
      <c r="AI75" s="118"/>
      <c r="AJ75" s="118"/>
      <c r="AL75" s="118"/>
      <c r="AM75" s="118"/>
      <c r="AN75" s="118"/>
    </row>
    <row r="76" spans="1:40" s="93" customFormat="1" ht="39.950000000000003" customHeight="1" x14ac:dyDescent="0.25">
      <c r="A76" s="110">
        <v>4</v>
      </c>
      <c r="B76" s="139"/>
      <c r="C76" s="140" t="s">
        <v>581</v>
      </c>
      <c r="D76" s="140" t="s">
        <v>2392</v>
      </c>
      <c r="E76" s="141" t="s">
        <v>2393</v>
      </c>
      <c r="F76" s="142" t="str">
        <f t="shared" si="30"/>
        <v>25 años 10 meses 1 días</v>
      </c>
      <c r="G76" s="149">
        <v>0.75</v>
      </c>
      <c r="H76" s="110" t="str">
        <f t="shared" si="31"/>
        <v>59 años 11 meses 29 días</v>
      </c>
      <c r="I76" s="110" t="str">
        <f t="shared" si="32"/>
        <v>6 años 2 meses 5 días</v>
      </c>
      <c r="J76" s="195"/>
      <c r="K76" s="196"/>
      <c r="L76" s="197"/>
      <c r="M76" s="144">
        <v>70000</v>
      </c>
      <c r="N76" s="115">
        <f>M76*G76</f>
        <v>52500</v>
      </c>
      <c r="O76" s="134"/>
      <c r="P76" s="134" t="s">
        <v>2383</v>
      </c>
      <c r="Q76" s="115" t="s">
        <v>336</v>
      </c>
      <c r="R76" s="145">
        <v>35977</v>
      </c>
      <c r="S76" s="146">
        <v>45414</v>
      </c>
      <c r="T76" s="145">
        <v>23500</v>
      </c>
      <c r="U76" s="145">
        <v>43158</v>
      </c>
      <c r="V76" s="116"/>
      <c r="W76" s="116"/>
      <c r="X76" s="116"/>
      <c r="Y76" s="116"/>
      <c r="Z76" s="52"/>
      <c r="AA76" s="52"/>
      <c r="AB76" s="52"/>
      <c r="AC76" s="117"/>
      <c r="AD76" s="118" t="s">
        <v>134</v>
      </c>
      <c r="AE76" s="164" t="s">
        <v>36</v>
      </c>
      <c r="AF76" s="165" t="s">
        <v>37</v>
      </c>
      <c r="AH76" s="118"/>
      <c r="AI76" s="118"/>
      <c r="AJ76" s="118"/>
      <c r="AL76" s="118"/>
      <c r="AM76" s="118"/>
      <c r="AN76" s="118"/>
    </row>
    <row r="77" spans="1:40" s="93" customFormat="1" ht="39.950000000000003" customHeight="1" x14ac:dyDescent="0.25">
      <c r="A77" s="110">
        <v>5</v>
      </c>
      <c r="B77" s="139"/>
      <c r="C77" s="140" t="s">
        <v>186</v>
      </c>
      <c r="D77" s="140" t="s">
        <v>2394</v>
      </c>
      <c r="E77" s="141" t="s">
        <v>2395</v>
      </c>
      <c r="F77" s="142" t="str">
        <f t="shared" si="30"/>
        <v>34 años 8 meses 25 días</v>
      </c>
      <c r="G77" s="149">
        <v>1</v>
      </c>
      <c r="H77" s="110" t="str">
        <f t="shared" si="31"/>
        <v>51 años 8 meses 27 días</v>
      </c>
      <c r="I77" s="110" t="str">
        <f t="shared" si="32"/>
        <v>5 años 2 meses 5 días</v>
      </c>
      <c r="J77" s="195"/>
      <c r="K77" s="196"/>
      <c r="L77" s="197"/>
      <c r="M77" s="144">
        <v>70000</v>
      </c>
      <c r="N77" s="115">
        <f>M77*G77</f>
        <v>70000</v>
      </c>
      <c r="O77" s="134"/>
      <c r="P77" s="134" t="s">
        <v>2383</v>
      </c>
      <c r="Q77" s="115" t="s">
        <v>336</v>
      </c>
      <c r="R77" s="145">
        <v>32727</v>
      </c>
      <c r="S77" s="146">
        <v>45414</v>
      </c>
      <c r="T77" s="145">
        <v>26516</v>
      </c>
      <c r="U77" s="145">
        <v>43523</v>
      </c>
      <c r="V77" s="116"/>
      <c r="W77" s="116"/>
      <c r="X77" s="116"/>
      <c r="Y77" s="116"/>
      <c r="Z77" s="52"/>
      <c r="AA77" s="52"/>
      <c r="AB77" s="52"/>
      <c r="AC77" s="117"/>
      <c r="AD77" s="118" t="s">
        <v>134</v>
      </c>
      <c r="AE77" s="164" t="s">
        <v>36</v>
      </c>
      <c r="AF77" s="165" t="s">
        <v>37</v>
      </c>
      <c r="AH77" s="118"/>
      <c r="AI77" s="118"/>
      <c r="AJ77" s="118"/>
      <c r="AL77" s="118"/>
      <c r="AM77" s="118"/>
      <c r="AN77" s="118"/>
    </row>
    <row r="78" spans="1:40" s="93" customFormat="1" ht="39.950000000000003" customHeight="1" x14ac:dyDescent="0.25">
      <c r="A78" s="110">
        <v>6</v>
      </c>
      <c r="B78" s="139"/>
      <c r="C78" s="140" t="s">
        <v>195</v>
      </c>
      <c r="D78" s="140" t="s">
        <v>2396</v>
      </c>
      <c r="E78" s="141" t="s">
        <v>2397</v>
      </c>
      <c r="F78" s="142" t="str">
        <f t="shared" si="30"/>
        <v>32 años 7 meses 1 días</v>
      </c>
      <c r="G78" s="149">
        <v>0.94</v>
      </c>
      <c r="H78" s="110" t="str">
        <f t="shared" si="31"/>
        <v>51 años 4 meses 0 días</v>
      </c>
      <c r="I78" s="110" t="str">
        <f t="shared" si="32"/>
        <v>5 años 2 meses 5 días</v>
      </c>
      <c r="J78" s="195"/>
      <c r="K78" s="196"/>
      <c r="L78" s="197"/>
      <c r="M78" s="144">
        <f>35615.52</f>
        <v>35615.519999999997</v>
      </c>
      <c r="N78" s="115">
        <f t="shared" ref="N78:N89" si="33">M78*G78</f>
        <v>33478.588799999998</v>
      </c>
      <c r="O78" s="134"/>
      <c r="P78" s="134" t="s">
        <v>2383</v>
      </c>
      <c r="Q78" s="115" t="s">
        <v>336</v>
      </c>
      <c r="R78" s="145">
        <v>33512</v>
      </c>
      <c r="S78" s="146">
        <v>45414</v>
      </c>
      <c r="T78" s="145">
        <v>26666</v>
      </c>
      <c r="U78" s="145">
        <v>43523</v>
      </c>
      <c r="V78" s="116"/>
      <c r="W78" s="116"/>
      <c r="X78" s="116"/>
      <c r="Y78" s="116"/>
      <c r="Z78" s="52"/>
      <c r="AA78" s="52"/>
      <c r="AB78" s="52"/>
      <c r="AC78" s="117"/>
      <c r="AD78" s="118" t="s">
        <v>190</v>
      </c>
      <c r="AE78" s="164" t="s">
        <v>36</v>
      </c>
      <c r="AF78" s="165" t="s">
        <v>37</v>
      </c>
      <c r="AH78" s="118"/>
      <c r="AI78" s="118"/>
      <c r="AJ78" s="118"/>
      <c r="AL78" s="118"/>
      <c r="AM78" s="118"/>
      <c r="AN78" s="118"/>
    </row>
    <row r="79" spans="1:40" s="93" customFormat="1" ht="39.950000000000003" customHeight="1" x14ac:dyDescent="0.25">
      <c r="A79" s="110">
        <v>7</v>
      </c>
      <c r="B79" s="139"/>
      <c r="C79" s="140" t="s">
        <v>195</v>
      </c>
      <c r="D79" s="140" t="s">
        <v>2398</v>
      </c>
      <c r="E79" s="141" t="s">
        <v>2399</v>
      </c>
      <c r="F79" s="142" t="str">
        <f t="shared" si="30"/>
        <v>32 años 11 meses 1 días</v>
      </c>
      <c r="G79" s="143">
        <v>0.94</v>
      </c>
      <c r="H79" s="110" t="str">
        <f t="shared" si="31"/>
        <v>49 años 10 meses 10 días</v>
      </c>
      <c r="I79" s="110" t="str">
        <f t="shared" si="32"/>
        <v>4 años 2 meses 5 días</v>
      </c>
      <c r="J79" s="195"/>
      <c r="K79" s="196"/>
      <c r="L79" s="197"/>
      <c r="M79" s="144">
        <v>34575.78</v>
      </c>
      <c r="N79" s="115">
        <f t="shared" si="33"/>
        <v>32501.233199999999</v>
      </c>
      <c r="O79" s="134"/>
      <c r="P79" s="134" t="s">
        <v>2383</v>
      </c>
      <c r="Q79" s="115" t="s">
        <v>336</v>
      </c>
      <c r="R79" s="145">
        <v>33390</v>
      </c>
      <c r="S79" s="146">
        <v>45414</v>
      </c>
      <c r="T79" s="145">
        <v>27202</v>
      </c>
      <c r="U79" s="145">
        <v>43888</v>
      </c>
      <c r="V79" s="116"/>
      <c r="W79" s="116"/>
      <c r="X79" s="116"/>
      <c r="Y79" s="116"/>
      <c r="Z79" s="52"/>
      <c r="AA79" s="52"/>
      <c r="AB79" s="52"/>
      <c r="AC79" s="117"/>
      <c r="AD79" s="118" t="s">
        <v>35</v>
      </c>
      <c r="AE79" s="164" t="s">
        <v>36</v>
      </c>
      <c r="AF79" s="165" t="s">
        <v>37</v>
      </c>
      <c r="AH79" s="118"/>
      <c r="AI79" s="118"/>
      <c r="AJ79" s="118"/>
      <c r="AL79" s="118"/>
      <c r="AM79" s="118"/>
      <c r="AN79" s="118"/>
    </row>
    <row r="80" spans="1:40" s="93" customFormat="1" ht="39.950000000000003" customHeight="1" x14ac:dyDescent="0.25">
      <c r="A80" s="110">
        <v>8</v>
      </c>
      <c r="B80" s="139"/>
      <c r="C80" s="140" t="s">
        <v>195</v>
      </c>
      <c r="D80" s="140" t="s">
        <v>2400</v>
      </c>
      <c r="E80" s="141" t="s">
        <v>2401</v>
      </c>
      <c r="F80" s="142" t="str">
        <f t="shared" si="30"/>
        <v>32 años 7 meses 1 días</v>
      </c>
      <c r="G80" s="143">
        <v>0.94</v>
      </c>
      <c r="H80" s="110" t="str">
        <f t="shared" si="31"/>
        <v>51 años 1 meses 26 días</v>
      </c>
      <c r="I80" s="110" t="str">
        <f t="shared" si="32"/>
        <v>5 años 2 meses 5 días</v>
      </c>
      <c r="J80" s="195"/>
      <c r="K80" s="196"/>
      <c r="L80" s="197"/>
      <c r="M80" s="144">
        <f>35615.52+12000</f>
        <v>47615.519999999997</v>
      </c>
      <c r="N80" s="115">
        <f t="shared" si="33"/>
        <v>44758.588799999998</v>
      </c>
      <c r="O80" s="134"/>
      <c r="P80" s="134" t="s">
        <v>2383</v>
      </c>
      <c r="Q80" s="115" t="s">
        <v>336</v>
      </c>
      <c r="R80" s="145">
        <v>33512</v>
      </c>
      <c r="S80" s="146">
        <v>45414</v>
      </c>
      <c r="T80" s="145">
        <v>26729</v>
      </c>
      <c r="U80" s="145">
        <v>43523</v>
      </c>
      <c r="V80" s="116"/>
      <c r="W80" s="116"/>
      <c r="X80" s="116"/>
      <c r="Y80" s="116"/>
      <c r="Z80" s="52"/>
      <c r="AA80" s="52"/>
      <c r="AB80" s="52"/>
      <c r="AC80" s="117"/>
      <c r="AD80" s="118" t="s">
        <v>190</v>
      </c>
      <c r="AE80" s="164" t="s">
        <v>36</v>
      </c>
      <c r="AF80" s="165" t="s">
        <v>37</v>
      </c>
      <c r="AH80" s="118"/>
      <c r="AI80" s="118"/>
      <c r="AJ80" s="118"/>
      <c r="AL80" s="118"/>
      <c r="AM80" s="118"/>
      <c r="AN80" s="118"/>
    </row>
    <row r="81" spans="1:40" s="93" customFormat="1" ht="39.950000000000003" customHeight="1" x14ac:dyDescent="0.25">
      <c r="A81" s="110">
        <v>9</v>
      </c>
      <c r="B81" s="139"/>
      <c r="C81" s="140" t="s">
        <v>202</v>
      </c>
      <c r="D81" s="140" t="s">
        <v>2402</v>
      </c>
      <c r="E81" s="141" t="s">
        <v>2403</v>
      </c>
      <c r="F81" s="142" t="str">
        <f t="shared" si="30"/>
        <v>24 años 3 meses 1 días</v>
      </c>
      <c r="G81" s="149">
        <v>0.7</v>
      </c>
      <c r="H81" s="110" t="str">
        <f t="shared" si="31"/>
        <v>44 años 7 meses 24 días</v>
      </c>
      <c r="I81" s="110" t="str">
        <f t="shared" si="32"/>
        <v>6 años 2 meses 5 días</v>
      </c>
      <c r="J81" s="195"/>
      <c r="K81" s="196"/>
      <c r="L81" s="197"/>
      <c r="M81" s="144">
        <v>34575.769999999997</v>
      </c>
      <c r="N81" s="115">
        <f t="shared" si="33"/>
        <v>24203.038999999997</v>
      </c>
      <c r="O81" s="134"/>
      <c r="P81" s="134" t="s">
        <v>2383</v>
      </c>
      <c r="Q81" s="115" t="s">
        <v>336</v>
      </c>
      <c r="R81" s="145">
        <v>36557</v>
      </c>
      <c r="S81" s="146">
        <v>45414</v>
      </c>
      <c r="T81" s="145">
        <v>29106</v>
      </c>
      <c r="U81" s="145">
        <v>43158</v>
      </c>
      <c r="V81" s="116"/>
      <c r="W81" s="116"/>
      <c r="X81" s="116"/>
      <c r="Y81" s="116"/>
      <c r="Z81" s="52"/>
      <c r="AA81" s="52"/>
      <c r="AB81" s="52"/>
      <c r="AC81" s="117"/>
      <c r="AD81" s="118" t="s">
        <v>293</v>
      </c>
      <c r="AE81" s="164" t="s">
        <v>36</v>
      </c>
      <c r="AF81" s="165" t="s">
        <v>37</v>
      </c>
      <c r="AH81" s="118"/>
      <c r="AI81" s="118"/>
      <c r="AJ81" s="118"/>
      <c r="AL81" s="118"/>
      <c r="AM81" s="118"/>
      <c r="AN81" s="118"/>
    </row>
    <row r="82" spans="1:40" s="93" customFormat="1" ht="39.950000000000003" customHeight="1" x14ac:dyDescent="0.25">
      <c r="A82" s="110">
        <v>10</v>
      </c>
      <c r="B82" s="139"/>
      <c r="C82" s="140" t="s">
        <v>202</v>
      </c>
      <c r="D82" s="140" t="s">
        <v>2404</v>
      </c>
      <c r="E82" s="141" t="s">
        <v>2405</v>
      </c>
      <c r="F82" s="142" t="str">
        <f t="shared" si="30"/>
        <v>27 años 0 meses 1 días</v>
      </c>
      <c r="G82" s="149">
        <v>0.77500000000000002</v>
      </c>
      <c r="H82" s="110" t="str">
        <f t="shared" si="31"/>
        <v>43 años 9 meses 23 días</v>
      </c>
      <c r="I82" s="110" t="str">
        <f t="shared" si="32"/>
        <v>5 años 2 meses 5 días</v>
      </c>
      <c r="J82" s="195"/>
      <c r="K82" s="196"/>
      <c r="L82" s="197"/>
      <c r="M82" s="144">
        <v>34575.769999999997</v>
      </c>
      <c r="N82" s="115">
        <f t="shared" si="33"/>
        <v>26796.221749999997</v>
      </c>
      <c r="O82" s="134"/>
      <c r="P82" s="134" t="s">
        <v>2383</v>
      </c>
      <c r="Q82" s="115" t="s">
        <v>336</v>
      </c>
      <c r="R82" s="145">
        <v>35551</v>
      </c>
      <c r="S82" s="146">
        <v>45414</v>
      </c>
      <c r="T82" s="145">
        <v>29411</v>
      </c>
      <c r="U82" s="145">
        <v>43523</v>
      </c>
      <c r="V82" s="116"/>
      <c r="W82" s="116"/>
      <c r="X82" s="116"/>
      <c r="Y82" s="116"/>
      <c r="Z82" s="52"/>
      <c r="AA82" s="52"/>
      <c r="AB82" s="52"/>
      <c r="AC82" s="117"/>
      <c r="AD82" s="118" t="s">
        <v>268</v>
      </c>
      <c r="AE82" s="164" t="s">
        <v>36</v>
      </c>
      <c r="AF82" s="165" t="s">
        <v>37</v>
      </c>
      <c r="AH82" s="118"/>
      <c r="AI82" s="118"/>
      <c r="AJ82" s="118"/>
      <c r="AL82" s="118"/>
      <c r="AM82" s="118"/>
      <c r="AN82" s="118"/>
    </row>
    <row r="83" spans="1:40" s="93" customFormat="1" ht="39.950000000000003" customHeight="1" x14ac:dyDescent="0.25">
      <c r="A83" s="110">
        <v>11</v>
      </c>
      <c r="B83" s="139"/>
      <c r="C83" s="140" t="s">
        <v>202</v>
      </c>
      <c r="D83" s="140" t="s">
        <v>2406</v>
      </c>
      <c r="E83" s="141" t="s">
        <v>2407</v>
      </c>
      <c r="F83" s="142" t="str">
        <f t="shared" si="30"/>
        <v>20 años 5 meses 1 días</v>
      </c>
      <c r="G83" s="149">
        <v>0.6</v>
      </c>
      <c r="H83" s="110" t="str">
        <f t="shared" si="31"/>
        <v>39 años 3 meses 20 días</v>
      </c>
      <c r="I83" s="110" t="str">
        <f t="shared" si="32"/>
        <v>4 años 2 meses 5 días</v>
      </c>
      <c r="J83" s="195"/>
      <c r="K83" s="196"/>
      <c r="L83" s="197"/>
      <c r="M83" s="144">
        <v>32541.78</v>
      </c>
      <c r="N83" s="115">
        <f t="shared" si="33"/>
        <v>19525.067999999999</v>
      </c>
      <c r="O83" s="134"/>
      <c r="P83" s="134"/>
      <c r="Q83" s="115" t="s">
        <v>336</v>
      </c>
      <c r="R83" s="145">
        <v>37956</v>
      </c>
      <c r="S83" s="146">
        <v>45414</v>
      </c>
      <c r="T83" s="145">
        <v>31059</v>
      </c>
      <c r="U83" s="145">
        <v>43888</v>
      </c>
      <c r="V83" s="116"/>
      <c r="W83" s="116"/>
      <c r="X83" s="116"/>
      <c r="Y83" s="116"/>
      <c r="Z83" s="52"/>
      <c r="AA83" s="52"/>
      <c r="AB83" s="52"/>
      <c r="AC83" s="117"/>
      <c r="AD83" s="118"/>
      <c r="AE83" s="164"/>
      <c r="AF83" s="165"/>
      <c r="AH83" s="118"/>
      <c r="AI83" s="118"/>
      <c r="AJ83" s="118"/>
      <c r="AL83" s="118"/>
      <c r="AM83" s="118"/>
      <c r="AN83" s="118"/>
    </row>
    <row r="84" spans="1:40" s="93" customFormat="1" ht="39.950000000000003" customHeight="1" x14ac:dyDescent="0.25">
      <c r="A84" s="110">
        <v>12</v>
      </c>
      <c r="B84" s="139"/>
      <c r="C84" s="140" t="s">
        <v>202</v>
      </c>
      <c r="D84" s="140" t="s">
        <v>2408</v>
      </c>
      <c r="E84" s="141" t="s">
        <v>2409</v>
      </c>
      <c r="F84" s="142" t="str">
        <f t="shared" si="30"/>
        <v>23 años 11 meses 1 días</v>
      </c>
      <c r="G84" s="149">
        <v>0.7</v>
      </c>
      <c r="H84" s="110" t="str">
        <f t="shared" si="31"/>
        <v>47 años 3 meses 0 días</v>
      </c>
      <c r="I84" s="110" t="str">
        <f t="shared" si="32"/>
        <v>1 años 2 meses 5 días</v>
      </c>
      <c r="J84" s="195"/>
      <c r="K84" s="196"/>
      <c r="L84" s="197"/>
      <c r="M84" s="144">
        <v>32541.77</v>
      </c>
      <c r="N84" s="115">
        <f t="shared" si="33"/>
        <v>22779.238999999998</v>
      </c>
      <c r="O84" s="134"/>
      <c r="P84" s="134" t="s">
        <v>2383</v>
      </c>
      <c r="Q84" s="115" t="s">
        <v>336</v>
      </c>
      <c r="R84" s="145">
        <v>36678</v>
      </c>
      <c r="S84" s="146">
        <v>45414</v>
      </c>
      <c r="T84" s="145">
        <v>28158</v>
      </c>
      <c r="U84" s="145">
        <v>44984</v>
      </c>
      <c r="V84" s="116"/>
      <c r="W84" s="116"/>
      <c r="X84" s="116"/>
      <c r="Y84" s="116"/>
      <c r="Z84" s="52"/>
      <c r="AA84" s="52"/>
      <c r="AB84" s="52"/>
      <c r="AC84" s="117"/>
      <c r="AD84" s="118" t="s">
        <v>268</v>
      </c>
      <c r="AE84" s="164" t="s">
        <v>36</v>
      </c>
      <c r="AF84" s="165" t="s">
        <v>37</v>
      </c>
      <c r="AH84" s="118"/>
      <c r="AI84" s="118"/>
      <c r="AJ84" s="118"/>
      <c r="AL84" s="118"/>
      <c r="AM84" s="118"/>
      <c r="AN84" s="118"/>
    </row>
    <row r="85" spans="1:40" s="93" customFormat="1" ht="39.950000000000003" customHeight="1" x14ac:dyDescent="0.25">
      <c r="A85" s="110">
        <v>13</v>
      </c>
      <c r="B85" s="139"/>
      <c r="C85" s="140" t="s">
        <v>208</v>
      </c>
      <c r="D85" s="140" t="s">
        <v>2410</v>
      </c>
      <c r="E85" s="141" t="s">
        <v>2411</v>
      </c>
      <c r="F85" s="142" t="str">
        <f t="shared" si="30"/>
        <v>28 años 2 meses 14 días</v>
      </c>
      <c r="G85" s="149">
        <v>0.8</v>
      </c>
      <c r="H85" s="110" t="str">
        <f t="shared" si="31"/>
        <v>46 años 7 meses 0 días</v>
      </c>
      <c r="I85" s="110" t="str">
        <f t="shared" si="32"/>
        <v>5 años 5 meses 19 días</v>
      </c>
      <c r="J85" s="195"/>
      <c r="K85" s="196"/>
      <c r="L85" s="197"/>
      <c r="M85" s="144">
        <v>27563.58</v>
      </c>
      <c r="N85" s="115">
        <f t="shared" si="33"/>
        <v>22050.864000000001</v>
      </c>
      <c r="O85" s="134" t="s">
        <v>2412</v>
      </c>
      <c r="P85" s="134" t="s">
        <v>33</v>
      </c>
      <c r="Q85" s="115" t="s">
        <v>338</v>
      </c>
      <c r="R85" s="145">
        <v>34851</v>
      </c>
      <c r="S85" s="146">
        <v>45153</v>
      </c>
      <c r="T85" s="145">
        <v>28140</v>
      </c>
      <c r="U85" s="145">
        <v>43158</v>
      </c>
      <c r="V85" s="116"/>
      <c r="W85" s="116"/>
      <c r="X85" s="116"/>
      <c r="Y85" s="116"/>
      <c r="Z85" s="52"/>
      <c r="AA85" s="52"/>
      <c r="AB85" s="52"/>
      <c r="AC85" s="117"/>
      <c r="AD85" s="118" t="s">
        <v>134</v>
      </c>
      <c r="AE85" s="164" t="s">
        <v>36</v>
      </c>
      <c r="AF85" s="165" t="s">
        <v>37</v>
      </c>
      <c r="AH85" s="118"/>
      <c r="AI85" s="118"/>
      <c r="AJ85" s="118"/>
      <c r="AL85" s="118"/>
      <c r="AM85" s="118"/>
      <c r="AN85" s="118"/>
    </row>
    <row r="86" spans="1:40" s="93" customFormat="1" ht="39.950000000000003" customHeight="1" x14ac:dyDescent="0.25">
      <c r="A86" s="110">
        <v>14</v>
      </c>
      <c r="B86" s="139"/>
      <c r="C86" s="140" t="s">
        <v>208</v>
      </c>
      <c r="D86" s="140" t="s">
        <v>2413</v>
      </c>
      <c r="E86" s="141" t="s">
        <v>2414</v>
      </c>
      <c r="F86" s="142" t="str">
        <f t="shared" si="30"/>
        <v>23 años 0 meses 13 días</v>
      </c>
      <c r="G86" s="149">
        <v>0.67500000000000004</v>
      </c>
      <c r="H86" s="110" t="str">
        <f t="shared" si="31"/>
        <v>42 años 11 meses 19 días</v>
      </c>
      <c r="I86" s="110" t="str">
        <f t="shared" si="32"/>
        <v>0 años 10 meses 27 días</v>
      </c>
      <c r="J86" s="195"/>
      <c r="K86" s="196"/>
      <c r="L86" s="197"/>
      <c r="M86" s="144">
        <v>25039.84</v>
      </c>
      <c r="N86" s="115">
        <f t="shared" si="33"/>
        <v>16901.892</v>
      </c>
      <c r="O86" s="134" t="s">
        <v>2412</v>
      </c>
      <c r="P86" s="134" t="s">
        <v>33</v>
      </c>
      <c r="Q86" s="115" t="s">
        <v>338</v>
      </c>
      <c r="R86" s="145">
        <v>36901</v>
      </c>
      <c r="S86" s="146">
        <v>45314</v>
      </c>
      <c r="T86" s="145">
        <v>29621</v>
      </c>
      <c r="U86" s="145">
        <v>44984</v>
      </c>
      <c r="V86" s="116"/>
      <c r="W86" s="116"/>
      <c r="X86" s="116"/>
      <c r="Y86" s="116"/>
      <c r="Z86" s="52"/>
      <c r="AA86" s="52"/>
      <c r="AB86" s="52"/>
      <c r="AC86" s="117"/>
      <c r="AD86" s="118" t="s">
        <v>134</v>
      </c>
      <c r="AE86" s="164" t="s">
        <v>36</v>
      </c>
      <c r="AF86" s="165" t="s">
        <v>37</v>
      </c>
      <c r="AH86" s="118"/>
      <c r="AI86" s="118"/>
      <c r="AJ86" s="118"/>
      <c r="AL86" s="118"/>
      <c r="AM86" s="118"/>
      <c r="AN86" s="118"/>
    </row>
    <row r="87" spans="1:40" s="93" customFormat="1" ht="39.950000000000003" customHeight="1" x14ac:dyDescent="0.25">
      <c r="A87" s="110">
        <v>15</v>
      </c>
      <c r="B87" s="139"/>
      <c r="C87" s="140" t="s">
        <v>211</v>
      </c>
      <c r="D87" s="140" t="s">
        <v>2415</v>
      </c>
      <c r="E87" s="141" t="s">
        <v>2416</v>
      </c>
      <c r="F87" s="142" t="str">
        <f t="shared" si="30"/>
        <v>31 años 3 meses 1 días</v>
      </c>
      <c r="G87" s="149">
        <v>0.88</v>
      </c>
      <c r="H87" s="110" t="str">
        <f t="shared" si="31"/>
        <v>47 años 11 meses 21 días</v>
      </c>
      <c r="I87" s="110" t="str">
        <f t="shared" si="32"/>
        <v>6 años 2 meses 5 días</v>
      </c>
      <c r="J87" s="195"/>
      <c r="K87" s="196"/>
      <c r="L87" s="197"/>
      <c r="M87" s="144">
        <v>32541.77</v>
      </c>
      <c r="N87" s="115">
        <f t="shared" si="33"/>
        <v>28636.757600000001</v>
      </c>
      <c r="O87" s="134"/>
      <c r="P87" s="134" t="s">
        <v>2383</v>
      </c>
      <c r="Q87" s="115" t="s">
        <v>336</v>
      </c>
      <c r="R87" s="145">
        <v>34001</v>
      </c>
      <c r="S87" s="146">
        <v>45414</v>
      </c>
      <c r="T87" s="145">
        <v>27891</v>
      </c>
      <c r="U87" s="145">
        <v>43158</v>
      </c>
      <c r="V87" s="116"/>
      <c r="W87" s="116"/>
      <c r="X87" s="116"/>
      <c r="Y87" s="116"/>
      <c r="Z87" s="52"/>
      <c r="AA87" s="52"/>
      <c r="AB87" s="52"/>
      <c r="AC87" s="117"/>
      <c r="AD87" s="118" t="s">
        <v>134</v>
      </c>
      <c r="AE87" s="164" t="s">
        <v>36</v>
      </c>
      <c r="AF87" s="165" t="s">
        <v>37</v>
      </c>
      <c r="AH87" s="118"/>
      <c r="AI87" s="118"/>
      <c r="AJ87" s="118"/>
      <c r="AL87" s="118"/>
      <c r="AM87" s="118"/>
      <c r="AN87" s="118"/>
    </row>
    <row r="88" spans="1:40" s="93" customFormat="1" ht="39.950000000000003" customHeight="1" x14ac:dyDescent="0.25">
      <c r="A88" s="110">
        <v>16</v>
      </c>
      <c r="B88" s="139"/>
      <c r="C88" s="140" t="s">
        <v>211</v>
      </c>
      <c r="D88" s="140" t="s">
        <v>2417</v>
      </c>
      <c r="E88" s="141" t="s">
        <v>2418</v>
      </c>
      <c r="F88" s="142" t="str">
        <f t="shared" si="30"/>
        <v>26 años 0 meses 1 días</v>
      </c>
      <c r="G88" s="149">
        <v>0.75</v>
      </c>
      <c r="H88" s="110" t="str">
        <f t="shared" si="31"/>
        <v>49 años 2 meses 27 días</v>
      </c>
      <c r="I88" s="110" t="str">
        <f t="shared" si="32"/>
        <v>7 años 2 meses 5 días</v>
      </c>
      <c r="J88" s="195"/>
      <c r="K88" s="196"/>
      <c r="L88" s="197"/>
      <c r="M88" s="144">
        <f>32541.77</f>
        <v>32541.77</v>
      </c>
      <c r="N88" s="115">
        <f t="shared" si="33"/>
        <v>24406.327499999999</v>
      </c>
      <c r="O88" s="134"/>
      <c r="P88" s="134" t="s">
        <v>2383</v>
      </c>
      <c r="Q88" s="115" t="s">
        <v>336</v>
      </c>
      <c r="R88" s="145">
        <v>35916</v>
      </c>
      <c r="S88" s="146">
        <v>45414</v>
      </c>
      <c r="T88" s="145">
        <v>27430</v>
      </c>
      <c r="U88" s="145">
        <v>42793</v>
      </c>
      <c r="V88" s="116"/>
      <c r="W88" s="116"/>
      <c r="X88" s="116"/>
      <c r="Y88" s="116"/>
      <c r="Z88" s="52"/>
      <c r="AA88" s="52"/>
      <c r="AB88" s="52"/>
      <c r="AC88" s="117"/>
      <c r="AD88" s="118" t="s">
        <v>190</v>
      </c>
      <c r="AE88" s="164" t="s">
        <v>36</v>
      </c>
      <c r="AF88" s="165" t="s">
        <v>37</v>
      </c>
      <c r="AH88" s="118"/>
      <c r="AI88" s="118"/>
      <c r="AJ88" s="118"/>
      <c r="AL88" s="118"/>
      <c r="AM88" s="118"/>
      <c r="AN88" s="118"/>
    </row>
    <row r="89" spans="1:40" s="93" customFormat="1" ht="39.950000000000003" customHeight="1" x14ac:dyDescent="0.25">
      <c r="A89" s="110">
        <v>17</v>
      </c>
      <c r="B89" s="139"/>
      <c r="C89" s="140" t="s">
        <v>211</v>
      </c>
      <c r="D89" s="140" t="s">
        <v>2419</v>
      </c>
      <c r="E89" s="141" t="s">
        <v>2420</v>
      </c>
      <c r="F89" s="142" t="str">
        <f t="shared" si="30"/>
        <v>25 años 8 meses 2 días</v>
      </c>
      <c r="G89" s="149">
        <v>0.75</v>
      </c>
      <c r="H89" s="110" t="str">
        <f t="shared" si="31"/>
        <v>49 años 7 meses 7 días</v>
      </c>
      <c r="I89" s="110" t="str">
        <f t="shared" si="32"/>
        <v>7 años 2 meses 5 días</v>
      </c>
      <c r="J89" s="195"/>
      <c r="K89" s="196"/>
      <c r="L89" s="197"/>
      <c r="M89" s="144">
        <v>32541.77</v>
      </c>
      <c r="N89" s="115">
        <f t="shared" si="33"/>
        <v>24406.327499999999</v>
      </c>
      <c r="O89" s="134"/>
      <c r="P89" s="134" t="s">
        <v>2383</v>
      </c>
      <c r="Q89" s="115" t="s">
        <v>336</v>
      </c>
      <c r="R89" s="145">
        <v>36892</v>
      </c>
      <c r="S89" s="146">
        <v>45414</v>
      </c>
      <c r="T89" s="145">
        <v>27297</v>
      </c>
      <c r="U89" s="145">
        <v>42793</v>
      </c>
      <c r="V89" s="116">
        <v>33878</v>
      </c>
      <c r="W89" s="116">
        <v>34732</v>
      </c>
      <c r="X89" s="116"/>
      <c r="Y89" s="116"/>
      <c r="Z89" s="52"/>
      <c r="AA89" s="52"/>
      <c r="AB89" s="52"/>
      <c r="AC89" s="117"/>
      <c r="AD89" s="118" t="s">
        <v>134</v>
      </c>
      <c r="AE89" s="164" t="s">
        <v>36</v>
      </c>
      <c r="AF89" s="165" t="s">
        <v>37</v>
      </c>
      <c r="AH89" s="118"/>
      <c r="AI89" s="118"/>
      <c r="AJ89" s="118"/>
      <c r="AL89" s="118"/>
      <c r="AM89" s="118"/>
      <c r="AN89" s="118"/>
    </row>
    <row r="90" spans="1:40" s="93" customFormat="1" ht="39.950000000000003" customHeight="1" x14ac:dyDescent="0.25">
      <c r="A90" s="110">
        <v>18</v>
      </c>
      <c r="B90" s="139"/>
      <c r="C90" s="140" t="s">
        <v>218</v>
      </c>
      <c r="D90" s="140" t="s">
        <v>2421</v>
      </c>
      <c r="E90" s="141" t="s">
        <v>2422</v>
      </c>
      <c r="F90" s="142" t="str">
        <f t="shared" si="30"/>
        <v>20 años 8 meses 7 días</v>
      </c>
      <c r="G90" s="149">
        <v>0.625</v>
      </c>
      <c r="H90" s="110" t="str">
        <f t="shared" si="31"/>
        <v>38 años 0 meses 0 días</v>
      </c>
      <c r="I90" s="110" t="str">
        <f t="shared" si="32"/>
        <v>2 años 0 meses 9 días</v>
      </c>
      <c r="J90" s="195"/>
      <c r="K90" s="196"/>
      <c r="L90" s="197"/>
      <c r="M90" s="144">
        <v>20900.259999999998</v>
      </c>
      <c r="N90" s="115">
        <f>M90*G90</f>
        <v>13062.662499999999</v>
      </c>
      <c r="O90" s="134" t="s">
        <v>2412</v>
      </c>
      <c r="P90" s="134" t="s">
        <v>33</v>
      </c>
      <c r="Q90" s="115" t="s">
        <v>338</v>
      </c>
      <c r="R90" s="145">
        <v>37073</v>
      </c>
      <c r="S90" s="146">
        <v>44628</v>
      </c>
      <c r="T90" s="145">
        <v>30749</v>
      </c>
      <c r="U90" s="145">
        <v>43888</v>
      </c>
      <c r="V90" s="116"/>
      <c r="W90" s="116"/>
      <c r="X90" s="116"/>
      <c r="Y90" s="116"/>
      <c r="Z90" s="52"/>
      <c r="AA90" s="52"/>
      <c r="AB90" s="52"/>
      <c r="AC90" s="117"/>
      <c r="AD90" s="118" t="s">
        <v>134</v>
      </c>
      <c r="AE90" s="164" t="s">
        <v>36</v>
      </c>
      <c r="AF90" s="165" t="s">
        <v>37</v>
      </c>
      <c r="AH90" s="118"/>
      <c r="AI90" s="118"/>
      <c r="AJ90" s="118"/>
      <c r="AL90" s="118"/>
      <c r="AM90" s="118"/>
      <c r="AN90" s="118"/>
    </row>
    <row r="91" spans="1:40" s="93" customFormat="1" ht="39.950000000000003" customHeight="1" x14ac:dyDescent="0.25">
      <c r="A91" s="110">
        <v>19</v>
      </c>
      <c r="B91" s="110"/>
      <c r="C91" s="148" t="s">
        <v>145</v>
      </c>
      <c r="D91" s="152" t="s">
        <v>2423</v>
      </c>
      <c r="E91" s="153" t="s">
        <v>2424</v>
      </c>
      <c r="F91" s="142" t="str">
        <f>DATEDIF(R91,S91,"y") + DATEDIF(V91,W91,"y") + DATEDIF(X91,Y91,"y") + SUM(AH91) &amp; " años " &amp; DATEDIF(R91,S91,"ym") + DATEDIF(V91,W91,"ym") + DATEDIF(X91,Y91,"ym") + SUM(AI91) - SUM(AM91) &amp; " meses " &amp; DATEDIF(R91,S91,"md") + DATEDIF(V91,W91,"md") + DATEDIF(X91,Y91,"md") - SUM(AN91) &amp; " días"</f>
        <v>21 años 11 meses 1 días</v>
      </c>
      <c r="G91" s="149">
        <v>1</v>
      </c>
      <c r="H91" s="110" t="str">
        <f>DATEDIF(T91,S91,"y") &amp; " años " &amp; DATEDIF(T91,S91,"ym") &amp; " meses " &amp; DATEDIF(T91,S91,"md") &amp; " días"</f>
        <v>51 años 11 meses 18 días</v>
      </c>
      <c r="I91" s="110" t="str">
        <f t="shared" si="32"/>
        <v>6 años 2 meses 5 días</v>
      </c>
      <c r="J91" s="195"/>
      <c r="K91" s="196"/>
      <c r="L91" s="197"/>
      <c r="M91" s="115">
        <v>31510.28</v>
      </c>
      <c r="N91" s="115">
        <f t="shared" ref="N91:N92" si="34">M91*G91</f>
        <v>31510.28</v>
      </c>
      <c r="O91" s="134" t="s">
        <v>2311</v>
      </c>
      <c r="P91" s="134" t="s">
        <v>33</v>
      </c>
      <c r="Q91" s="115" t="s">
        <v>337</v>
      </c>
      <c r="R91" s="154">
        <v>37408</v>
      </c>
      <c r="S91" s="154">
        <v>45414</v>
      </c>
      <c r="T91" s="155">
        <v>26433</v>
      </c>
      <c r="U91" s="155">
        <v>43158</v>
      </c>
      <c r="V91" s="116"/>
      <c r="W91" s="116"/>
      <c r="X91" s="116"/>
      <c r="Y91" s="116"/>
      <c r="Z91"/>
      <c r="AA91"/>
      <c r="AB91"/>
      <c r="AC91" s="117"/>
      <c r="AD91" s="118" t="s">
        <v>268</v>
      </c>
      <c r="AE91" s="164" t="s">
        <v>36</v>
      </c>
      <c r="AF91" s="165" t="s">
        <v>37</v>
      </c>
      <c r="AH91" s="118"/>
      <c r="AI91" s="118"/>
      <c r="AJ91" s="118"/>
      <c r="AL91" s="118"/>
      <c r="AM91" s="118"/>
      <c r="AN91" s="118"/>
    </row>
    <row r="92" spans="1:40" s="93" customFormat="1" ht="39.950000000000003" customHeight="1" x14ac:dyDescent="0.25">
      <c r="A92" s="110">
        <v>20</v>
      </c>
      <c r="B92" s="110"/>
      <c r="C92" s="148" t="s">
        <v>145</v>
      </c>
      <c r="D92" s="152" t="s">
        <v>2425</v>
      </c>
      <c r="E92" s="153" t="s">
        <v>2426</v>
      </c>
      <c r="F92" s="142" t="str">
        <f t="shared" ref="F92" si="35">DATEDIF(R92,S92,"y") + DATEDIF(V92,W92,"y") + DATEDIF(X92,Y92,"y") + SUM(AH92) &amp; " años " &amp; DATEDIF(R92,S92,"ym") + DATEDIF(V92,W92,"ym") + DATEDIF(X92,Y92,"ym") + SUM(AI92) - SUM(AM92) &amp; " meses " &amp; DATEDIF(R92,S92,"md") + DATEDIF(V92,W92,"md") + DATEDIF(X92,Y92,"md") - SUM(AN92) &amp; " días"</f>
        <v>25 años 3 meses 10 días</v>
      </c>
      <c r="G92" s="149">
        <v>1</v>
      </c>
      <c r="H92" s="110" t="str">
        <f t="shared" ref="H92:H93" si="36">DATEDIF(T92,S92,"y") &amp; " años " &amp; DATEDIF(T92,S92,"ym") &amp; " meses " &amp; DATEDIF(T92,S92,"md") &amp; " días"</f>
        <v>50 años 1 meses 28 días</v>
      </c>
      <c r="I92" s="110" t="str">
        <f t="shared" si="32"/>
        <v>7 años 2 meses 5 días</v>
      </c>
      <c r="J92" s="195"/>
      <c r="K92" s="196"/>
      <c r="L92" s="197"/>
      <c r="M92" s="115">
        <v>31510.28</v>
      </c>
      <c r="N92" s="115">
        <f t="shared" si="34"/>
        <v>31510.28</v>
      </c>
      <c r="O92" s="134" t="s">
        <v>2311</v>
      </c>
      <c r="P92" s="134" t="s">
        <v>33</v>
      </c>
      <c r="Q92" s="115" t="s">
        <v>337</v>
      </c>
      <c r="R92" s="154">
        <v>36923</v>
      </c>
      <c r="S92" s="154">
        <v>45414</v>
      </c>
      <c r="T92" s="155">
        <v>27092</v>
      </c>
      <c r="U92" s="155">
        <v>42793</v>
      </c>
      <c r="V92" s="116">
        <v>35583</v>
      </c>
      <c r="W92" s="116">
        <v>36322</v>
      </c>
      <c r="X92" s="116"/>
      <c r="Y92" s="116"/>
      <c r="Z92"/>
      <c r="AA92"/>
      <c r="AB92"/>
      <c r="AC92" s="117"/>
      <c r="AD92" s="118" t="s">
        <v>268</v>
      </c>
      <c r="AE92" s="164" t="s">
        <v>36</v>
      </c>
      <c r="AF92" s="165" t="s">
        <v>37</v>
      </c>
      <c r="AH92" s="118"/>
      <c r="AI92" s="118"/>
      <c r="AJ92" s="118"/>
      <c r="AL92" s="118"/>
      <c r="AM92" s="118"/>
      <c r="AN92" s="118"/>
    </row>
    <row r="93" spans="1:40" s="93" customFormat="1" ht="39.950000000000003" customHeight="1" x14ac:dyDescent="0.25">
      <c r="A93" s="110">
        <v>21</v>
      </c>
      <c r="B93" s="110"/>
      <c r="C93" s="140" t="s">
        <v>149</v>
      </c>
      <c r="D93" s="140" t="s">
        <v>2427</v>
      </c>
      <c r="E93" s="150" t="s">
        <v>2428</v>
      </c>
      <c r="F93" s="142" t="str">
        <f t="shared" ref="F93" si="37">DATEDIF(R93,S93,"y") + DATEDIF(V93,W93,"y") + DATEDIF(X93,Y93,"y") + SUM(AH93) &amp; " años " &amp; DATEDIF(R93,S93,"ym") + DATEDIF(V93,W93,"ym") + DATEDIF(X93,Y93,"ym") + SUM(AI93) - SUM(AM93) &amp; " meses " &amp; DATEDIF(R93,S93,"md") + DATEDIF(V93,W93,"md") + DATEDIF(X93,Y93,"md") - SUM(AN93) &amp; " días"</f>
        <v>32 años 4 meses 15 días</v>
      </c>
      <c r="G93" s="149">
        <v>0.91</v>
      </c>
      <c r="H93" s="110" t="str">
        <f t="shared" si="36"/>
        <v>64 años 8 meses 14 días</v>
      </c>
      <c r="I93" s="110" t="str">
        <f t="shared" si="32"/>
        <v>3 años 11 meses 24 días</v>
      </c>
      <c r="J93" s="195"/>
      <c r="K93" s="196"/>
      <c r="L93" s="197"/>
      <c r="M93" s="151">
        <v>22588.39</v>
      </c>
      <c r="N93" s="115">
        <f>M93*G93</f>
        <v>20555.4349</v>
      </c>
      <c r="O93" s="134" t="s">
        <v>2360</v>
      </c>
      <c r="P93" s="134" t="s">
        <v>2288</v>
      </c>
      <c r="Q93" s="115" t="s">
        <v>339</v>
      </c>
      <c r="R93" s="145">
        <v>39387</v>
      </c>
      <c r="S93" s="146">
        <v>45342</v>
      </c>
      <c r="T93" s="145">
        <v>21707</v>
      </c>
      <c r="U93" s="145">
        <v>43888</v>
      </c>
      <c r="V93" s="116">
        <v>33424</v>
      </c>
      <c r="W93" s="116">
        <v>39294</v>
      </c>
      <c r="X93" s="116"/>
      <c r="Y93" s="116"/>
      <c r="Z93" s="52"/>
      <c r="AA93" s="52"/>
      <c r="AB93" s="52"/>
      <c r="AC93" s="117"/>
      <c r="AD93" s="118" t="s">
        <v>35</v>
      </c>
      <c r="AE93" s="164" t="s">
        <v>36</v>
      </c>
      <c r="AF93" s="165" t="s">
        <v>37</v>
      </c>
      <c r="AH93" s="118"/>
      <c r="AI93" s="118">
        <v>1</v>
      </c>
      <c r="AJ93" s="118"/>
      <c r="AL93" s="118"/>
      <c r="AM93" s="118"/>
      <c r="AN93" s="118">
        <v>30</v>
      </c>
    </row>
    <row r="94" spans="1:40" s="93" customFormat="1" ht="39.950000000000003" customHeight="1" x14ac:dyDescent="0.25">
      <c r="A94" s="110">
        <v>22</v>
      </c>
      <c r="B94" s="110"/>
      <c r="C94" s="148" t="s">
        <v>1314</v>
      </c>
      <c r="D94" s="152" t="s">
        <v>2429</v>
      </c>
      <c r="E94" s="153" t="s">
        <v>2430</v>
      </c>
      <c r="F94" s="142" t="str">
        <f>DATEDIF(R94,S94,"y") + DATEDIF(V94,W94,"y") + DATEDIF(X94,Y94,"y") + SUM(AH94) &amp; " años " &amp; DATEDIF(R94,S94,"ym") + DATEDIF(V94,W94,"ym") + DATEDIF(X94,Y94,"ym") + SUM(AI94) - SUM(AM94) &amp; " meses " &amp; DATEDIF(R94,S94,"md") + DATEDIF(V94,W94,"md") + DATEDIF(X94,Y94,"md") - SUM(AN94) &amp; " días"</f>
        <v>19 años 1 meses 1 días</v>
      </c>
      <c r="G94" s="149">
        <v>1</v>
      </c>
      <c r="H94" s="110" t="str">
        <f>DATEDIF(T94,S94,"y") &amp; " años " &amp; DATEDIF(T94,S94,"ym") &amp; " meses " &amp; DATEDIF(T94,S94,"md") &amp; " días"</f>
        <v>41 años 3 meses 19 días</v>
      </c>
      <c r="I94" s="110" t="str">
        <f>DATEDIF(U94,S94,"y") &amp; " años " &amp; DATEDIF(U94,S94,"ym") &amp; " meses " &amp; DATEDIF(U94,S94,"md") &amp; " días"</f>
        <v>8 años 2 meses 5 días</v>
      </c>
      <c r="J94" s="195"/>
      <c r="K94" s="196"/>
      <c r="L94" s="197"/>
      <c r="M94" s="115">
        <v>30394.94</v>
      </c>
      <c r="N94" s="115">
        <f>M94*G94</f>
        <v>30394.94</v>
      </c>
      <c r="O94" s="134" t="s">
        <v>2311</v>
      </c>
      <c r="P94" s="134" t="s">
        <v>33</v>
      </c>
      <c r="Q94" s="115" t="s">
        <v>337</v>
      </c>
      <c r="R94" s="154">
        <v>38443</v>
      </c>
      <c r="S94" s="154">
        <v>45414</v>
      </c>
      <c r="T94" s="155">
        <v>30329</v>
      </c>
      <c r="U94" s="155">
        <v>42427</v>
      </c>
      <c r="V94" s="116"/>
      <c r="W94" s="116"/>
      <c r="X94" s="116"/>
      <c r="Y94" s="116"/>
      <c r="Z94"/>
      <c r="AA94"/>
      <c r="AB94"/>
      <c r="AC94" s="117"/>
      <c r="AD94" s="118" t="s">
        <v>293</v>
      </c>
      <c r="AE94" s="164" t="s">
        <v>36</v>
      </c>
      <c r="AF94" s="165" t="s">
        <v>37</v>
      </c>
      <c r="AH94" s="118"/>
      <c r="AI94" s="118"/>
      <c r="AJ94" s="118"/>
      <c r="AL94" s="118"/>
      <c r="AM94" s="118"/>
      <c r="AN94" s="118"/>
    </row>
    <row r="95" spans="1:40" s="93" customFormat="1" ht="39.950000000000003" customHeight="1" x14ac:dyDescent="0.25">
      <c r="A95" s="110">
        <v>23</v>
      </c>
      <c r="B95" s="110"/>
      <c r="C95" s="140" t="s">
        <v>176</v>
      </c>
      <c r="D95" s="140" t="s">
        <v>2431</v>
      </c>
      <c r="E95" s="141" t="s">
        <v>2432</v>
      </c>
      <c r="F95" s="142" t="str">
        <f t="shared" ref="F95" si="38">DATEDIF(R95,S95,"y") + DATEDIF(V95,W95,"y") + DATEDIF(X95,Y95,"y") + SUM(AH95) &amp; " años " &amp; DATEDIF(R95,S95,"ym") + DATEDIF(V95,W95,"ym") + DATEDIF(X95,Y95,"ym") + SUM(AI95) - SUM(AM95) &amp; " meses " &amp; DATEDIF(R95,S95,"md") + DATEDIF(V95,W95,"md") + DATEDIF(X95,Y95,"md") - SUM(AN95) &amp; " días"</f>
        <v>22 años 5 meses 4 días</v>
      </c>
      <c r="G95" s="149">
        <v>0.65</v>
      </c>
      <c r="H95" s="110" t="str">
        <f>DATEDIF(T95,S95,"y") &amp; " años " &amp; DATEDIF(T95,S95,"ym") &amp; " meses " &amp; DATEDIF(T95,S95,"md") &amp; " días"</f>
        <v>44 años 8 meses 16 días</v>
      </c>
      <c r="I95" s="110" t="str">
        <f>DATEDIF(U95,S95,"y") &amp; " años " &amp; DATEDIF(U95,S95,"ym") &amp; " meses " &amp; DATEDIF(U95,S95,"md") &amp; " días"</f>
        <v>5 años 6 meses 9 días</v>
      </c>
      <c r="J95" s="195"/>
      <c r="K95" s="196"/>
      <c r="L95" s="197"/>
      <c r="M95" s="144">
        <v>22588.39</v>
      </c>
      <c r="N95" s="115">
        <f>M95*G95</f>
        <v>14682.4535</v>
      </c>
      <c r="O95" s="134" t="s">
        <v>2412</v>
      </c>
      <c r="P95" s="134" t="s">
        <v>33</v>
      </c>
      <c r="Q95" s="115" t="s">
        <v>339</v>
      </c>
      <c r="R95" s="145">
        <v>36982</v>
      </c>
      <c r="S95" s="146">
        <v>45174</v>
      </c>
      <c r="T95" s="145">
        <v>28844</v>
      </c>
      <c r="U95" s="145">
        <v>43158</v>
      </c>
      <c r="V95" s="116"/>
      <c r="W95" s="116"/>
      <c r="X95" s="116"/>
      <c r="Y95" s="116"/>
      <c r="Z95" s="52"/>
      <c r="AA95" s="52"/>
      <c r="AB95" s="52"/>
      <c r="AC95" s="117"/>
      <c r="AD95" s="118" t="s">
        <v>190</v>
      </c>
      <c r="AE95" s="164" t="s">
        <v>36</v>
      </c>
      <c r="AF95" s="165" t="s">
        <v>37</v>
      </c>
      <c r="AH95" s="118"/>
      <c r="AI95" s="118"/>
      <c r="AJ95" s="118"/>
      <c r="AL95" s="118"/>
      <c r="AM95" s="118"/>
      <c r="AN95" s="118"/>
    </row>
    <row r="96" spans="1:40" s="93" customFormat="1" ht="39.950000000000003" customHeight="1" x14ac:dyDescent="0.25">
      <c r="A96" s="110">
        <v>24</v>
      </c>
      <c r="B96" s="139"/>
      <c r="C96" s="140" t="s">
        <v>704</v>
      </c>
      <c r="D96" s="140" t="s">
        <v>2433</v>
      </c>
      <c r="E96" s="141" t="s">
        <v>2434</v>
      </c>
      <c r="F96" s="142" t="str">
        <f t="shared" ref="F96:F98" si="39">DATEDIF(R96,S96,"y") + DATEDIF(V96,W96,"y") + DATEDIF(X96,Y96,"y") + SUM(AH96) &amp; " años " &amp; DATEDIF(R96,S96,"ym") + DATEDIF(V96,W96,"ym") + DATEDIF(X96,Y96,"ym") + SUM(AI96) - SUM(AM96) &amp; " meses " &amp; DATEDIF(R96,S96,"md") + DATEDIF(V96,W96,"md") + DATEDIF(X96,Y96,"md") - SUM(AN96) &amp; " días"</f>
        <v>25 años 8 meses 1 días</v>
      </c>
      <c r="G96" s="149">
        <v>0.75</v>
      </c>
      <c r="H96" s="110" t="str">
        <f t="shared" ref="H96:H98" si="40">DATEDIF(T96,S96,"y") &amp; " años " &amp; DATEDIF(T96,S96,"ym") &amp; " meses " &amp; DATEDIF(T96,S96,"md") &amp; " días"</f>
        <v>52 años 5 meses 3 días</v>
      </c>
      <c r="I96" s="110"/>
      <c r="J96" s="195"/>
      <c r="K96" s="196"/>
      <c r="L96" s="197"/>
      <c r="M96" s="144">
        <f>24159.28</f>
        <v>24159.279999999999</v>
      </c>
      <c r="N96" s="115">
        <f t="shared" ref="N96:N98" si="41">M96*G96</f>
        <v>18119.46</v>
      </c>
      <c r="O96" s="134"/>
      <c r="P96" s="134" t="s">
        <v>2435</v>
      </c>
      <c r="Q96" s="115" t="s">
        <v>336</v>
      </c>
      <c r="R96" s="145">
        <v>36039</v>
      </c>
      <c r="S96" s="146">
        <v>45414</v>
      </c>
      <c r="T96" s="145">
        <v>26266</v>
      </c>
      <c r="U96" s="145"/>
      <c r="V96" s="116"/>
      <c r="W96" s="116"/>
      <c r="X96" s="116"/>
      <c r="Y96" s="116"/>
      <c r="Z96" s="52"/>
      <c r="AA96" s="52"/>
      <c r="AB96" s="52"/>
      <c r="AC96" s="117"/>
      <c r="AD96" s="118" t="s">
        <v>35</v>
      </c>
      <c r="AE96" s="164" t="s">
        <v>36</v>
      </c>
      <c r="AF96" s="165" t="s">
        <v>37</v>
      </c>
      <c r="AH96" s="118"/>
      <c r="AI96" s="118"/>
      <c r="AJ96" s="118"/>
      <c r="AL96" s="118"/>
      <c r="AM96" s="118"/>
      <c r="AN96" s="118"/>
    </row>
    <row r="97" spans="1:40" s="93" customFormat="1" ht="39.950000000000003" customHeight="1" x14ac:dyDescent="0.25">
      <c r="A97" s="110">
        <v>25</v>
      </c>
      <c r="B97" s="139"/>
      <c r="C97" s="140" t="s">
        <v>704</v>
      </c>
      <c r="D97" s="140" t="s">
        <v>2436</v>
      </c>
      <c r="E97" s="141" t="s">
        <v>2437</v>
      </c>
      <c r="F97" s="142" t="str">
        <f t="shared" si="39"/>
        <v>29 años 2 meses 1 días</v>
      </c>
      <c r="G97" s="149">
        <v>0.82499999999999996</v>
      </c>
      <c r="H97" s="110" t="str">
        <f t="shared" si="40"/>
        <v>76 años 8 meses 12 días</v>
      </c>
      <c r="I97" s="110"/>
      <c r="J97" s="195"/>
      <c r="K97" s="196"/>
      <c r="L97" s="197"/>
      <c r="M97" s="144">
        <v>24159.29</v>
      </c>
      <c r="N97" s="115">
        <f t="shared" si="41"/>
        <v>19931.414249999998</v>
      </c>
      <c r="O97" s="134"/>
      <c r="P97" s="134" t="s">
        <v>2435</v>
      </c>
      <c r="Q97" s="115" t="s">
        <v>336</v>
      </c>
      <c r="R97" s="145">
        <v>34759</v>
      </c>
      <c r="S97" s="146">
        <v>45414</v>
      </c>
      <c r="T97" s="145">
        <v>17399</v>
      </c>
      <c r="U97" s="145"/>
      <c r="V97" s="116"/>
      <c r="W97" s="116"/>
      <c r="X97" s="116"/>
      <c r="Y97" s="116"/>
      <c r="Z97" s="52"/>
      <c r="AA97" s="52"/>
      <c r="AB97" s="52"/>
      <c r="AC97" s="117"/>
      <c r="AD97" s="118" t="s">
        <v>35</v>
      </c>
      <c r="AE97" s="164" t="s">
        <v>36</v>
      </c>
      <c r="AF97" s="165" t="s">
        <v>37</v>
      </c>
      <c r="AH97" s="118"/>
      <c r="AI97" s="118"/>
      <c r="AJ97" s="118"/>
      <c r="AL97" s="118"/>
      <c r="AM97" s="118"/>
      <c r="AN97" s="118"/>
    </row>
    <row r="98" spans="1:40" s="93" customFormat="1" ht="39.950000000000003" customHeight="1" x14ac:dyDescent="0.25">
      <c r="A98" s="110">
        <v>26</v>
      </c>
      <c r="B98" s="110"/>
      <c r="C98" s="140" t="s">
        <v>300</v>
      </c>
      <c r="D98" s="140" t="s">
        <v>2438</v>
      </c>
      <c r="E98" s="141" t="s">
        <v>2439</v>
      </c>
      <c r="F98" s="142" t="str">
        <f t="shared" si="39"/>
        <v>26 años 0 meses 1 días</v>
      </c>
      <c r="G98" s="149">
        <v>0.75</v>
      </c>
      <c r="H98" s="110" t="str">
        <f t="shared" si="40"/>
        <v>43 años 10 meses 8 días</v>
      </c>
      <c r="I98" s="110"/>
      <c r="J98" s="195"/>
      <c r="K98" s="196"/>
      <c r="L98" s="197"/>
      <c r="M98" s="144">
        <f>16995.64+4400</f>
        <v>21395.64</v>
      </c>
      <c r="N98" s="115">
        <f t="shared" si="41"/>
        <v>16046.73</v>
      </c>
      <c r="O98" s="134"/>
      <c r="P98" s="134" t="s">
        <v>2435</v>
      </c>
      <c r="Q98" s="115" t="s">
        <v>336</v>
      </c>
      <c r="R98" s="145">
        <v>35916</v>
      </c>
      <c r="S98" s="146">
        <v>45414</v>
      </c>
      <c r="T98" s="145">
        <v>29396</v>
      </c>
      <c r="U98" s="145"/>
      <c r="V98" s="116"/>
      <c r="W98" s="116"/>
      <c r="X98" s="116"/>
      <c r="Y98" s="116"/>
      <c r="Z98" s="52"/>
      <c r="AA98" s="52"/>
      <c r="AB98" s="52"/>
      <c r="AC98" s="117"/>
      <c r="AD98" s="118" t="s">
        <v>134</v>
      </c>
      <c r="AE98" s="164" t="s">
        <v>36</v>
      </c>
      <c r="AF98" s="165" t="s">
        <v>37</v>
      </c>
      <c r="AH98" s="118"/>
      <c r="AI98" s="118"/>
      <c r="AJ98" s="118"/>
      <c r="AL98" s="118"/>
      <c r="AM98" s="118"/>
      <c r="AN98" s="118"/>
    </row>
    <row r="99" spans="1:40" ht="12.75" customHeight="1" x14ac:dyDescent="0.25"/>
    <row r="100" spans="1:40" s="91" customFormat="1" x14ac:dyDescent="0.25">
      <c r="A100" s="191" t="s">
        <v>234</v>
      </c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  <c r="L100" s="191"/>
      <c r="M100" s="191"/>
      <c r="N100" s="191"/>
      <c r="O100" s="191"/>
      <c r="P100" s="191"/>
      <c r="Q100" s="191"/>
      <c r="R100" s="138"/>
      <c r="S100" s="90"/>
      <c r="T100" s="90"/>
      <c r="Z100" s="52"/>
      <c r="AA100" s="52"/>
      <c r="AB100" s="52"/>
      <c r="AD100" s="92"/>
      <c r="AG100" s="93"/>
      <c r="AH100" s="181" t="s">
        <v>2</v>
      </c>
      <c r="AI100" s="181"/>
      <c r="AJ100" s="181"/>
      <c r="AL100" s="181" t="s">
        <v>3</v>
      </c>
      <c r="AM100" s="181"/>
      <c r="AN100" s="181"/>
    </row>
    <row r="101" spans="1:40" s="104" customFormat="1" ht="30" customHeight="1" x14ac:dyDescent="0.25">
      <c r="A101" s="94" t="s">
        <v>4</v>
      </c>
      <c r="B101" s="94" t="s">
        <v>5</v>
      </c>
      <c r="C101" s="95" t="s">
        <v>6</v>
      </c>
      <c r="D101" s="95" t="s">
        <v>7</v>
      </c>
      <c r="E101" s="94" t="s">
        <v>8</v>
      </c>
      <c r="F101" s="96" t="s">
        <v>9</v>
      </c>
      <c r="G101" s="96" t="s">
        <v>10</v>
      </c>
      <c r="H101" s="95" t="s">
        <v>11</v>
      </c>
      <c r="I101" s="97" t="s">
        <v>12</v>
      </c>
      <c r="J101" s="182" t="s">
        <v>13</v>
      </c>
      <c r="K101" s="183"/>
      <c r="L101" s="98" t="s">
        <v>14</v>
      </c>
      <c r="M101" s="99" t="s">
        <v>15</v>
      </c>
      <c r="N101" s="99" t="s">
        <v>17</v>
      </c>
      <c r="O101" s="99" t="s">
        <v>18</v>
      </c>
      <c r="P101" s="99" t="s">
        <v>18</v>
      </c>
      <c r="Q101" s="99" t="s">
        <v>335</v>
      </c>
      <c r="R101" s="99" t="s">
        <v>1950</v>
      </c>
      <c r="S101" s="100" t="s">
        <v>19</v>
      </c>
      <c r="T101" s="100" t="s">
        <v>20</v>
      </c>
      <c r="U101" s="101" t="s">
        <v>21</v>
      </c>
      <c r="V101" s="95" t="s">
        <v>13</v>
      </c>
      <c r="W101" s="100" t="s">
        <v>19</v>
      </c>
      <c r="X101" s="100" t="s">
        <v>20</v>
      </c>
      <c r="Y101" s="100" t="s">
        <v>19</v>
      </c>
      <c r="Z101" s="100" t="s">
        <v>20</v>
      </c>
      <c r="AA101" s="52"/>
      <c r="AB101" s="52"/>
      <c r="AC101" s="102"/>
      <c r="AD101" s="100" t="s">
        <v>22</v>
      </c>
      <c r="AE101" s="100" t="s">
        <v>23</v>
      </c>
      <c r="AF101" s="100" t="s">
        <v>24</v>
      </c>
      <c r="AG101" s="93"/>
      <c r="AH101" s="103" t="s">
        <v>25</v>
      </c>
      <c r="AI101" s="103" t="s">
        <v>26</v>
      </c>
      <c r="AJ101" s="103" t="s">
        <v>27</v>
      </c>
      <c r="AK101" s="93"/>
      <c r="AL101" s="103" t="s">
        <v>25</v>
      </c>
      <c r="AM101" s="103" t="s">
        <v>26</v>
      </c>
      <c r="AN101" s="103" t="s">
        <v>28</v>
      </c>
    </row>
    <row r="102" spans="1:40" s="93" customFormat="1" ht="39.950000000000003" customHeight="1" x14ac:dyDescent="0.25">
      <c r="A102" s="110">
        <v>1</v>
      </c>
      <c r="B102" s="110"/>
      <c r="C102" s="140" t="s">
        <v>39</v>
      </c>
      <c r="D102" s="140" t="s">
        <v>2440</v>
      </c>
      <c r="E102" s="150" t="s">
        <v>2441</v>
      </c>
      <c r="F102" s="142" t="str">
        <f t="shared" ref="F102:F104" si="42">DATEDIF(R102,S102,"y") + DATEDIF(V102,W102,"y") + DATEDIF(X102,Y102,"y") + SUM(AH102) &amp; " años " &amp; DATEDIF(R102,S102,"ym") + DATEDIF(V102,W102,"ym") + DATEDIF(X102,Y102,"ym") + SUM(AI102) - SUM(AM102) &amp; " meses " &amp; DATEDIF(R102,S102,"md") + DATEDIF(V102,W102,"md") + DATEDIF(X102,Y102,"md") - SUM(AN102) &amp; " días"</f>
        <v>35 años 8 meses 7 días</v>
      </c>
      <c r="G102" s="149">
        <v>1</v>
      </c>
      <c r="H102" s="110" t="str">
        <f t="shared" ref="H102:H110" si="43">DATEDIF(T102,S102,"y") &amp; " años " &amp; DATEDIF(T102,S102,"ym") &amp; " meses " &amp; DATEDIF(T102,S102,"md") &amp; " días"</f>
        <v>56 años 11 meses 8 días</v>
      </c>
      <c r="I102" s="110" t="str">
        <f t="shared" ref="I102:I110" si="44">DATEDIF(U102,S102,"y") &amp; " años " &amp; DATEDIF(U102,S102,"ym") &amp; " meses " &amp; DATEDIF(U102,S102,"md") &amp; " días"</f>
        <v>6 años 2 meses 1 días</v>
      </c>
      <c r="J102" s="195"/>
      <c r="K102" s="196"/>
      <c r="L102" s="197"/>
      <c r="M102" s="151">
        <v>60000</v>
      </c>
      <c r="N102" s="115">
        <f t="shared" ref="N102:N109" si="45">M102*G102</f>
        <v>60000</v>
      </c>
      <c r="O102" s="134"/>
      <c r="P102" s="134"/>
      <c r="Q102" s="115" t="s">
        <v>336</v>
      </c>
      <c r="R102" s="145">
        <v>32380</v>
      </c>
      <c r="S102" s="146">
        <v>45414</v>
      </c>
      <c r="T102" s="145">
        <v>24616</v>
      </c>
      <c r="U102" s="145">
        <v>43160</v>
      </c>
      <c r="V102" s="116"/>
      <c r="W102" s="116"/>
      <c r="X102" s="116"/>
      <c r="Y102" s="116"/>
      <c r="Z102" s="52"/>
      <c r="AA102" s="52"/>
      <c r="AB102" s="52"/>
      <c r="AC102" s="117"/>
      <c r="AD102" s="118" t="s">
        <v>35</v>
      </c>
      <c r="AE102" s="164" t="s">
        <v>36</v>
      </c>
      <c r="AF102" s="165" t="s">
        <v>37</v>
      </c>
      <c r="AH102" s="118"/>
      <c r="AI102" s="118"/>
      <c r="AJ102" s="118"/>
      <c r="AL102" s="118"/>
      <c r="AM102" s="118"/>
      <c r="AN102" s="118"/>
    </row>
    <row r="103" spans="1:40" s="93" customFormat="1" ht="39.950000000000003" customHeight="1" x14ac:dyDescent="0.25">
      <c r="A103" s="110">
        <v>2</v>
      </c>
      <c r="B103" s="110"/>
      <c r="C103" s="140" t="s">
        <v>39</v>
      </c>
      <c r="D103" s="140" t="s">
        <v>2442</v>
      </c>
      <c r="E103" s="150" t="s">
        <v>2443</v>
      </c>
      <c r="F103" s="142" t="str">
        <f t="shared" si="42"/>
        <v>34 años 7 meses 1 días</v>
      </c>
      <c r="G103" s="149">
        <v>1</v>
      </c>
      <c r="H103" s="110" t="str">
        <f t="shared" si="43"/>
        <v>52 años 0 meses 24 días</v>
      </c>
      <c r="I103" s="110" t="str">
        <f t="shared" si="44"/>
        <v>3 años 2 meses 5 días</v>
      </c>
      <c r="J103" s="195"/>
      <c r="K103" s="196"/>
      <c r="L103" s="197"/>
      <c r="M103" s="151">
        <v>39234.82</v>
      </c>
      <c r="N103" s="115">
        <f t="shared" si="45"/>
        <v>39234.82</v>
      </c>
      <c r="O103" s="134"/>
      <c r="P103" s="134" t="s">
        <v>2288</v>
      </c>
      <c r="Q103" s="115" t="s">
        <v>336</v>
      </c>
      <c r="R103" s="145">
        <v>32782</v>
      </c>
      <c r="S103" s="146">
        <v>45414</v>
      </c>
      <c r="T103" s="145">
        <v>26397</v>
      </c>
      <c r="U103" s="145">
        <v>44254</v>
      </c>
      <c r="V103" s="116"/>
      <c r="W103" s="116"/>
      <c r="X103" s="116"/>
      <c r="Y103" s="116"/>
      <c r="Z103" s="52"/>
      <c r="AA103" s="52"/>
      <c r="AB103" s="52"/>
      <c r="AC103" s="117"/>
      <c r="AD103" s="118" t="s">
        <v>190</v>
      </c>
      <c r="AE103" s="164" t="s">
        <v>36</v>
      </c>
      <c r="AF103" s="165" t="s">
        <v>37</v>
      </c>
      <c r="AH103" s="118"/>
      <c r="AI103" s="118"/>
      <c r="AJ103" s="118"/>
      <c r="AL103" s="118"/>
      <c r="AM103" s="118"/>
      <c r="AN103" s="118"/>
    </row>
    <row r="104" spans="1:40" s="93" customFormat="1" ht="39.950000000000003" customHeight="1" x14ac:dyDescent="0.25">
      <c r="A104" s="110">
        <v>3</v>
      </c>
      <c r="B104" s="110"/>
      <c r="C104" s="140" t="s">
        <v>39</v>
      </c>
      <c r="D104" s="140" t="s">
        <v>2444</v>
      </c>
      <c r="E104" s="150" t="s">
        <v>2445</v>
      </c>
      <c r="F104" s="142" t="str">
        <f t="shared" si="42"/>
        <v>28 años 1 meses 1 días</v>
      </c>
      <c r="G104" s="149">
        <v>0.8</v>
      </c>
      <c r="H104" s="110" t="str">
        <f t="shared" si="43"/>
        <v>44 años 3 meses 1 días</v>
      </c>
      <c r="I104" s="110" t="str">
        <f t="shared" si="44"/>
        <v>4 años 2 meses 5 días</v>
      </c>
      <c r="J104" s="195"/>
      <c r="K104" s="196"/>
      <c r="L104" s="197"/>
      <c r="M104" s="151">
        <f>39234.81</f>
        <v>39234.81</v>
      </c>
      <c r="N104" s="115">
        <f t="shared" si="45"/>
        <v>31387.847999999998</v>
      </c>
      <c r="O104" s="134"/>
      <c r="P104" s="134" t="s">
        <v>2288</v>
      </c>
      <c r="Q104" s="115" t="s">
        <v>336</v>
      </c>
      <c r="R104" s="145">
        <v>35156</v>
      </c>
      <c r="S104" s="146">
        <v>45414</v>
      </c>
      <c r="T104" s="145">
        <v>29252</v>
      </c>
      <c r="U104" s="145">
        <v>43888</v>
      </c>
      <c r="V104" s="116"/>
      <c r="W104" s="116"/>
      <c r="X104" s="116"/>
      <c r="Y104" s="116"/>
      <c r="Z104" s="52"/>
      <c r="AA104" s="52"/>
      <c r="AB104" s="52"/>
      <c r="AC104" s="117"/>
      <c r="AD104" s="118" t="s">
        <v>1032</v>
      </c>
      <c r="AE104" s="164" t="s">
        <v>36</v>
      </c>
      <c r="AF104" s="165" t="s">
        <v>37</v>
      </c>
      <c r="AH104" s="118"/>
      <c r="AI104" s="118"/>
      <c r="AJ104" s="118"/>
      <c r="AL104" s="118"/>
      <c r="AM104" s="118"/>
      <c r="AN104" s="118"/>
    </row>
    <row r="105" spans="1:40" s="93" customFormat="1" ht="39.950000000000003" customHeight="1" x14ac:dyDescent="0.25">
      <c r="A105" s="110">
        <v>4</v>
      </c>
      <c r="B105" s="110"/>
      <c r="C105" s="148" t="s">
        <v>359</v>
      </c>
      <c r="D105" s="152" t="s">
        <v>2446</v>
      </c>
      <c r="E105" s="153" t="s">
        <v>2447</v>
      </c>
      <c r="F105" s="142" t="str">
        <f t="shared" ref="F105" si="46">DATEDIF(R105,S105,"y") + DATEDIF(V105,W105,"y") + DATEDIF(X105,Y105,"y") + SUM(AH105) &amp; " años " &amp; DATEDIF(R105,S105,"ym") + DATEDIF(V105,W105,"ym") + DATEDIF(X105,Y105,"ym") + SUM(AI105) - SUM(AM105) &amp; " meses " &amp; DATEDIF(R105,S105,"md") + DATEDIF(V105,W105,"md") + DATEDIF(X105,Y105,"md") - SUM(AN105) &amp; " días"</f>
        <v>30 años 11 meses 17 días</v>
      </c>
      <c r="G105" s="149">
        <v>0.88</v>
      </c>
      <c r="H105" s="110" t="str">
        <f t="shared" si="43"/>
        <v>54 años 9 meses 30 días</v>
      </c>
      <c r="I105" s="110" t="str">
        <f t="shared" si="44"/>
        <v>7 años 10 meses 22 días</v>
      </c>
      <c r="J105" s="195"/>
      <c r="K105" s="196"/>
      <c r="L105" s="197"/>
      <c r="M105" s="115">
        <v>70000</v>
      </c>
      <c r="N105" s="115">
        <f t="shared" si="45"/>
        <v>61600</v>
      </c>
      <c r="O105" s="134" t="s">
        <v>2412</v>
      </c>
      <c r="P105" s="134" t="s">
        <v>33</v>
      </c>
      <c r="Q105" s="115" t="s">
        <v>338</v>
      </c>
      <c r="R105" s="154">
        <v>34001</v>
      </c>
      <c r="S105" s="154">
        <v>45309</v>
      </c>
      <c r="T105" s="154">
        <v>25281</v>
      </c>
      <c r="U105" s="155">
        <v>42427</v>
      </c>
      <c r="V105" s="116"/>
      <c r="W105" s="116"/>
      <c r="X105" s="116"/>
      <c r="Y105" s="116"/>
      <c r="Z105"/>
      <c r="AA105"/>
      <c r="AB105"/>
      <c r="AC105" s="117"/>
      <c r="AD105" s="118" t="s">
        <v>35</v>
      </c>
      <c r="AE105" s="164" t="s">
        <v>36</v>
      </c>
      <c r="AF105" s="165" t="s">
        <v>37</v>
      </c>
      <c r="AH105" s="118"/>
      <c r="AI105" s="118"/>
      <c r="AJ105" s="118"/>
      <c r="AL105" s="118"/>
      <c r="AM105" s="118"/>
      <c r="AN105" s="118"/>
    </row>
    <row r="106" spans="1:40" s="93" customFormat="1" ht="39.950000000000003" customHeight="1" x14ac:dyDescent="0.25">
      <c r="A106" s="110">
        <v>5</v>
      </c>
      <c r="B106" s="110"/>
      <c r="C106" s="140" t="s">
        <v>49</v>
      </c>
      <c r="D106" s="140" t="s">
        <v>2448</v>
      </c>
      <c r="E106" s="141" t="s">
        <v>2449</v>
      </c>
      <c r="F106" s="142" t="str">
        <f t="shared" ref="F106:F110" si="47">DATEDIF(R106,S106,"y") + DATEDIF(V106,W106,"y") + DATEDIF(X106,Y106,"y") + SUM(AH106) &amp; " años " &amp; DATEDIF(R106,S106,"ym") + DATEDIF(V106,W106,"ym") + DATEDIF(X106,Y106,"ym") + SUM(AI106) - SUM(AM106) &amp; " meses " &amp; DATEDIF(R106,S106,"md") + DATEDIF(V106,W106,"md") + DATEDIF(X106,Y106,"md") - SUM(AN106) &amp; " días"</f>
        <v>35 años 11 meses 1 días</v>
      </c>
      <c r="G106" s="149">
        <v>1</v>
      </c>
      <c r="H106" s="110" t="str">
        <f t="shared" si="43"/>
        <v>54 años 9 meses 3 días</v>
      </c>
      <c r="I106" s="110" t="str">
        <f t="shared" si="44"/>
        <v>8 años 2 meses 5 días</v>
      </c>
      <c r="J106" s="195"/>
      <c r="K106" s="196"/>
      <c r="L106" s="197"/>
      <c r="M106" s="151">
        <f>39234.82</f>
        <v>39234.82</v>
      </c>
      <c r="N106" s="115">
        <f t="shared" si="45"/>
        <v>39234.82</v>
      </c>
      <c r="O106" s="134"/>
      <c r="P106" s="134" t="s">
        <v>2288</v>
      </c>
      <c r="Q106" s="115" t="s">
        <v>336</v>
      </c>
      <c r="R106" s="145">
        <v>32295</v>
      </c>
      <c r="S106" s="146">
        <v>45414</v>
      </c>
      <c r="T106" s="145">
        <v>25413</v>
      </c>
      <c r="U106" s="145">
        <v>42427</v>
      </c>
      <c r="V106" s="116"/>
      <c r="W106" s="116"/>
      <c r="X106" s="116"/>
      <c r="Y106" s="116"/>
      <c r="Z106" s="52"/>
      <c r="AA106" s="52"/>
      <c r="AB106" s="52"/>
      <c r="AC106" s="117"/>
      <c r="AD106" s="118" t="s">
        <v>134</v>
      </c>
      <c r="AE106" s="164" t="s">
        <v>36</v>
      </c>
      <c r="AF106" s="165" t="s">
        <v>37</v>
      </c>
      <c r="AH106" s="118"/>
      <c r="AI106" s="118"/>
      <c r="AJ106" s="118"/>
      <c r="AL106" s="118"/>
      <c r="AM106" s="118"/>
      <c r="AN106" s="118"/>
    </row>
    <row r="107" spans="1:40" s="93" customFormat="1" ht="39.950000000000003" customHeight="1" x14ac:dyDescent="0.25">
      <c r="A107" s="110">
        <v>6</v>
      </c>
      <c r="B107" s="110"/>
      <c r="C107" s="140" t="s">
        <v>49</v>
      </c>
      <c r="D107" s="140" t="s">
        <v>2450</v>
      </c>
      <c r="E107" s="141" t="s">
        <v>2451</v>
      </c>
      <c r="F107" s="142" t="str">
        <f t="shared" si="47"/>
        <v>35 años 11 meses 1 días</v>
      </c>
      <c r="G107" s="143">
        <v>1</v>
      </c>
      <c r="H107" s="110" t="str">
        <f t="shared" si="43"/>
        <v>58 años 8 meses 10 días</v>
      </c>
      <c r="I107" s="110" t="str">
        <f t="shared" si="44"/>
        <v>8 años 2 meses 5 días</v>
      </c>
      <c r="J107" s="195"/>
      <c r="K107" s="196"/>
      <c r="L107" s="197"/>
      <c r="M107" s="151">
        <v>60000</v>
      </c>
      <c r="N107" s="115">
        <f t="shared" si="45"/>
        <v>60000</v>
      </c>
      <c r="O107" s="134"/>
      <c r="P107" s="134" t="s">
        <v>2288</v>
      </c>
      <c r="Q107" s="115" t="s">
        <v>336</v>
      </c>
      <c r="R107" s="145">
        <v>32295</v>
      </c>
      <c r="S107" s="146">
        <v>45414</v>
      </c>
      <c r="T107" s="145">
        <v>23976</v>
      </c>
      <c r="U107" s="145">
        <v>42427</v>
      </c>
      <c r="V107" s="116"/>
      <c r="W107" s="116"/>
      <c r="X107" s="116"/>
      <c r="Y107" s="116"/>
      <c r="Z107" s="52"/>
      <c r="AA107" s="52"/>
      <c r="AB107" s="52"/>
      <c r="AC107" s="117"/>
      <c r="AD107" s="118" t="s">
        <v>1032</v>
      </c>
      <c r="AE107" s="164" t="s">
        <v>36</v>
      </c>
      <c r="AF107" s="165" t="s">
        <v>37</v>
      </c>
      <c r="AH107" s="118"/>
      <c r="AI107" s="118"/>
      <c r="AJ107" s="118"/>
      <c r="AL107" s="118"/>
      <c r="AM107" s="118"/>
      <c r="AN107" s="118"/>
    </row>
    <row r="108" spans="1:40" s="93" customFormat="1" ht="39.950000000000003" customHeight="1" x14ac:dyDescent="0.25">
      <c r="A108" s="110">
        <v>7</v>
      </c>
      <c r="B108" s="110"/>
      <c r="C108" s="140" t="s">
        <v>49</v>
      </c>
      <c r="D108" s="140" t="s">
        <v>2452</v>
      </c>
      <c r="E108" s="150" t="s">
        <v>2453</v>
      </c>
      <c r="F108" s="142" t="str">
        <f t="shared" si="47"/>
        <v>31 años 3 meses 1 días</v>
      </c>
      <c r="G108" s="149">
        <v>0.88</v>
      </c>
      <c r="H108" s="110" t="str">
        <f t="shared" si="43"/>
        <v>50 años 3 meses 16 días</v>
      </c>
      <c r="I108" s="110" t="str">
        <f t="shared" si="44"/>
        <v>5 años 2 meses 5 días</v>
      </c>
      <c r="J108" s="195"/>
      <c r="K108" s="196"/>
      <c r="L108" s="197"/>
      <c r="M108" s="151">
        <f>39234.82</f>
        <v>39234.82</v>
      </c>
      <c r="N108" s="115">
        <f t="shared" si="45"/>
        <v>34526.641600000003</v>
      </c>
      <c r="O108" s="134"/>
      <c r="P108" s="134"/>
      <c r="Q108" s="115" t="s">
        <v>336</v>
      </c>
      <c r="R108" s="145">
        <v>34001</v>
      </c>
      <c r="S108" s="146">
        <v>45414</v>
      </c>
      <c r="T108" s="145">
        <v>27045</v>
      </c>
      <c r="U108" s="145">
        <v>43523</v>
      </c>
      <c r="V108" s="116"/>
      <c r="W108" s="116"/>
      <c r="X108" s="116"/>
      <c r="Y108" s="116"/>
      <c r="Z108" s="52"/>
      <c r="AA108" s="52"/>
      <c r="AB108" s="52"/>
      <c r="AC108" s="117"/>
      <c r="AD108" s="118" t="s">
        <v>190</v>
      </c>
      <c r="AE108" s="164" t="s">
        <v>36</v>
      </c>
      <c r="AF108" s="165" t="s">
        <v>37</v>
      </c>
      <c r="AH108" s="118"/>
      <c r="AI108" s="118"/>
      <c r="AJ108" s="118"/>
      <c r="AL108" s="118"/>
      <c r="AM108" s="118"/>
      <c r="AN108" s="118"/>
    </row>
    <row r="109" spans="1:40" s="93" customFormat="1" ht="39.950000000000003" customHeight="1" x14ac:dyDescent="0.25">
      <c r="A109" s="110">
        <v>8</v>
      </c>
      <c r="B109" s="110"/>
      <c r="C109" s="140" t="s">
        <v>56</v>
      </c>
      <c r="D109" s="140" t="s">
        <v>2454</v>
      </c>
      <c r="E109" s="141" t="s">
        <v>2455</v>
      </c>
      <c r="F109" s="142" t="str">
        <f t="shared" si="47"/>
        <v>32 años 7 meses 17 días</v>
      </c>
      <c r="G109" s="149">
        <v>0.94</v>
      </c>
      <c r="H109" s="110" t="str">
        <f t="shared" si="43"/>
        <v>51 años 4 meses 17 días</v>
      </c>
      <c r="I109" s="110" t="str">
        <f t="shared" si="44"/>
        <v>5 años 2 meses 5 días</v>
      </c>
      <c r="J109" s="195"/>
      <c r="K109" s="196"/>
      <c r="L109" s="197"/>
      <c r="M109" s="144">
        <v>35615.519999999997</v>
      </c>
      <c r="N109" s="115">
        <f t="shared" si="45"/>
        <v>33478.588799999998</v>
      </c>
      <c r="O109" s="134"/>
      <c r="P109" s="134" t="s">
        <v>2288</v>
      </c>
      <c r="Q109" s="115" t="s">
        <v>336</v>
      </c>
      <c r="R109" s="145">
        <v>33496</v>
      </c>
      <c r="S109" s="146">
        <v>45414</v>
      </c>
      <c r="T109" s="145">
        <v>26648</v>
      </c>
      <c r="U109" s="145">
        <v>43523</v>
      </c>
      <c r="V109" s="116"/>
      <c r="W109" s="116"/>
      <c r="X109" s="116"/>
      <c r="Y109" s="116"/>
      <c r="Z109" s="52"/>
      <c r="AA109" s="52"/>
      <c r="AB109" s="52"/>
      <c r="AC109" s="117"/>
      <c r="AD109" s="118" t="s">
        <v>35</v>
      </c>
      <c r="AE109" s="164" t="s">
        <v>36</v>
      </c>
      <c r="AF109" s="165" t="s">
        <v>37</v>
      </c>
      <c r="AH109" s="118"/>
      <c r="AI109" s="118"/>
      <c r="AJ109" s="118"/>
      <c r="AL109" s="118"/>
      <c r="AM109" s="118"/>
      <c r="AN109" s="118"/>
    </row>
    <row r="110" spans="1:40" s="93" customFormat="1" ht="39.950000000000003" customHeight="1" x14ac:dyDescent="0.25">
      <c r="A110" s="110">
        <v>9</v>
      </c>
      <c r="B110" s="110"/>
      <c r="C110" s="140" t="s">
        <v>56</v>
      </c>
      <c r="D110" s="140" t="s">
        <v>2456</v>
      </c>
      <c r="E110" s="141" t="s">
        <v>2457</v>
      </c>
      <c r="F110" s="142" t="str">
        <f t="shared" si="47"/>
        <v>30 años 11 meses 1 días</v>
      </c>
      <c r="G110" s="149">
        <v>0.88</v>
      </c>
      <c r="H110" s="110" t="str">
        <f t="shared" si="43"/>
        <v>48 años 5 meses 23 días</v>
      </c>
      <c r="I110" s="110" t="str">
        <f t="shared" si="44"/>
        <v>9 años 2 meses 5 días</v>
      </c>
      <c r="J110" s="195"/>
      <c r="K110" s="196"/>
      <c r="L110" s="197"/>
      <c r="M110" s="144">
        <v>35615.519999999997</v>
      </c>
      <c r="N110" s="115">
        <f>M110*G110</f>
        <v>31341.657599999999</v>
      </c>
      <c r="O110" s="134"/>
      <c r="P110" s="134" t="s">
        <v>2288</v>
      </c>
      <c r="Q110" s="115" t="s">
        <v>336</v>
      </c>
      <c r="R110" s="145">
        <v>35369</v>
      </c>
      <c r="S110" s="146">
        <v>45414</v>
      </c>
      <c r="T110" s="145">
        <v>27707</v>
      </c>
      <c r="U110" s="145">
        <v>42062</v>
      </c>
      <c r="V110" s="116">
        <v>34121</v>
      </c>
      <c r="W110" s="116">
        <v>35369</v>
      </c>
      <c r="X110" s="116"/>
      <c r="Y110" s="116"/>
      <c r="Z110" s="52"/>
      <c r="AA110" s="52"/>
      <c r="AB110" s="52"/>
      <c r="AC110" s="117"/>
      <c r="AD110" s="118" t="s">
        <v>35</v>
      </c>
      <c r="AE110" s="164" t="s">
        <v>36</v>
      </c>
      <c r="AF110" s="165" t="s">
        <v>37</v>
      </c>
      <c r="AH110" s="118"/>
      <c r="AI110" s="118">
        <v>1</v>
      </c>
      <c r="AJ110" s="118"/>
      <c r="AL110" s="118"/>
      <c r="AM110" s="118"/>
      <c r="AN110" s="118">
        <v>30</v>
      </c>
    </row>
    <row r="111" spans="1:40" s="93" customFormat="1" ht="39.950000000000003" customHeight="1" x14ac:dyDescent="0.25">
      <c r="A111" s="110">
        <v>10</v>
      </c>
      <c r="B111" s="110"/>
      <c r="C111" s="140" t="s">
        <v>56</v>
      </c>
      <c r="D111" s="140" t="s">
        <v>2458</v>
      </c>
      <c r="E111" s="150" t="s">
        <v>2459</v>
      </c>
      <c r="F111" s="142" t="str">
        <f>DATEDIF(R111,S111,"y") + DATEDIF(V111,W111,"y") + DATEDIF(X111,Y111,"y") + SUM(AH111) &amp; " años " &amp; DATEDIF(R111,S111,"ym") + DATEDIF(V111,W111,"ym") + DATEDIF(X111,Y111,"ym") + SUM(AI111) - SUM(AM111) &amp; " meses " &amp; DATEDIF(R111,S111,"md") + DATEDIF(V111,W111,"md") + DATEDIF(X111,Y111,"md") - SUM(AN111) &amp; " días"</f>
        <v>30 años 9 meses 29 días</v>
      </c>
      <c r="G111" s="149">
        <v>1</v>
      </c>
      <c r="H111" s="110" t="str">
        <f>DATEDIF(T111,S111,"y") &amp; " años " &amp; DATEDIF(T111,S111,"ym") &amp; " meses " &amp; DATEDIF(T111,S111,"md") &amp; " días"</f>
        <v>73 años 4 meses 14 días</v>
      </c>
      <c r="I111" s="110" t="str">
        <f>DATEDIF(U111,S111,"y") &amp; " años " &amp; DATEDIF(U111,S111,"ym") &amp; " meses " &amp; DATEDIF(U111,S111,"md") &amp; " días"</f>
        <v>8 años 2 meses 5 días</v>
      </c>
      <c r="J111" s="195"/>
      <c r="K111" s="196"/>
      <c r="L111" s="197"/>
      <c r="M111" s="151">
        <f>35615.53+12000</f>
        <v>47615.53</v>
      </c>
      <c r="N111" s="115">
        <f>M111*G111</f>
        <v>47615.53</v>
      </c>
      <c r="O111" s="134" t="s">
        <v>2311</v>
      </c>
      <c r="P111" s="134" t="s">
        <v>33</v>
      </c>
      <c r="Q111" s="115" t="s">
        <v>337</v>
      </c>
      <c r="R111" s="145">
        <v>37865</v>
      </c>
      <c r="S111" s="146">
        <v>45414</v>
      </c>
      <c r="T111" s="145">
        <v>18615</v>
      </c>
      <c r="U111" s="145">
        <v>42427</v>
      </c>
      <c r="V111" s="116">
        <v>27303</v>
      </c>
      <c r="W111" s="116">
        <v>31015</v>
      </c>
      <c r="X111" s="116"/>
      <c r="Y111" s="116"/>
      <c r="Z111" s="52"/>
      <c r="AA111" s="52"/>
      <c r="AB111" s="52"/>
      <c r="AC111" s="117"/>
      <c r="AD111" s="118" t="s">
        <v>134</v>
      </c>
      <c r="AE111" s="164" t="s">
        <v>36</v>
      </c>
      <c r="AF111" s="165" t="s">
        <v>37</v>
      </c>
      <c r="AH111" s="118"/>
      <c r="AI111" s="118"/>
      <c r="AJ111" s="118"/>
      <c r="AL111" s="118"/>
      <c r="AM111" s="118"/>
      <c r="AN111" s="118"/>
    </row>
    <row r="112" spans="1:40" s="93" customFormat="1" ht="39.950000000000003" customHeight="1" x14ac:dyDescent="0.25">
      <c r="A112" s="110">
        <v>11</v>
      </c>
      <c r="B112" s="110"/>
      <c r="C112" s="140" t="s">
        <v>87</v>
      </c>
      <c r="D112" s="140" t="s">
        <v>2460</v>
      </c>
      <c r="E112" s="150" t="s">
        <v>2461</v>
      </c>
      <c r="F112" s="142" t="str">
        <f t="shared" ref="F112:F114" si="48">DATEDIF(R112,S112,"y") + DATEDIF(V112,W112,"y") + DATEDIF(X112,Y112,"y") + SUM(AH112) &amp; " años " &amp; DATEDIF(R112,S112,"ym") + DATEDIF(V112,W112,"ym") + DATEDIF(X112,Y112,"ym") + SUM(AI112) - SUM(AM112) &amp; " meses " &amp; DATEDIF(R112,S112,"md") + DATEDIF(V112,W112,"md") + DATEDIF(X112,Y112,"md") - SUM(AN112) &amp; " días"</f>
        <v>25 años 0 meses 1 días</v>
      </c>
      <c r="G112" s="149">
        <v>0.72499999999999998</v>
      </c>
      <c r="H112" s="110" t="str">
        <f t="shared" ref="H112:H114" si="49">DATEDIF(T112,S112,"y") &amp; " años " &amp; DATEDIF(T112,S112,"ym") &amp; " meses " &amp; DATEDIF(T112,S112,"md") &amp; " días"</f>
        <v>44 años 6 meses 9 días</v>
      </c>
      <c r="I112" s="110" t="str">
        <f t="shared" ref="I112:I114" si="50">DATEDIF(U112,S112,"y") &amp; " años " &amp; DATEDIF(U112,S112,"ym") &amp; " meses " &amp; DATEDIF(U112,S112,"md") &amp; " días"</f>
        <v>5 años 2 meses 5 días</v>
      </c>
      <c r="J112" s="195"/>
      <c r="K112" s="196"/>
      <c r="L112" s="197"/>
      <c r="M112" s="151">
        <v>34575.78</v>
      </c>
      <c r="N112" s="115">
        <f t="shared" ref="N112:N114" si="51">M112*G112</f>
        <v>25067.440499999997</v>
      </c>
      <c r="O112" s="134"/>
      <c r="P112" s="134" t="s">
        <v>2288</v>
      </c>
      <c r="Q112" s="115" t="s">
        <v>336</v>
      </c>
      <c r="R112" s="145">
        <v>36281</v>
      </c>
      <c r="S112" s="146">
        <v>45414</v>
      </c>
      <c r="T112" s="145">
        <v>29151</v>
      </c>
      <c r="U112" s="145">
        <v>43523</v>
      </c>
      <c r="V112" s="116"/>
      <c r="W112" s="116"/>
      <c r="X112" s="116"/>
      <c r="Y112" s="116"/>
      <c r="Z112" s="52"/>
      <c r="AA112" s="52"/>
      <c r="AB112" s="52"/>
      <c r="AC112" s="117"/>
      <c r="AD112" s="118" t="s">
        <v>134</v>
      </c>
      <c r="AE112" s="164" t="s">
        <v>36</v>
      </c>
      <c r="AF112" s="165" t="s">
        <v>37</v>
      </c>
      <c r="AH112" s="118"/>
      <c r="AI112" s="118"/>
      <c r="AJ112" s="118"/>
      <c r="AL112" s="118"/>
      <c r="AM112" s="118"/>
      <c r="AN112" s="118"/>
    </row>
    <row r="113" spans="1:40" s="93" customFormat="1" ht="39.950000000000003" customHeight="1" x14ac:dyDescent="0.25">
      <c r="A113" s="110">
        <v>12</v>
      </c>
      <c r="B113" s="110"/>
      <c r="C113" s="140" t="s">
        <v>87</v>
      </c>
      <c r="D113" s="140" t="s">
        <v>2462</v>
      </c>
      <c r="E113" s="150" t="s">
        <v>2463</v>
      </c>
      <c r="F113" s="142" t="str">
        <f t="shared" si="48"/>
        <v>28 años 7 meses 17 días</v>
      </c>
      <c r="G113" s="149">
        <v>0.82499999999999996</v>
      </c>
      <c r="H113" s="110" t="str">
        <f t="shared" si="49"/>
        <v>45 años 5 meses 19 días</v>
      </c>
      <c r="I113" s="110" t="str">
        <f t="shared" si="50"/>
        <v>7 años 2 meses 1 días</v>
      </c>
      <c r="J113" s="195"/>
      <c r="K113" s="196"/>
      <c r="L113" s="197"/>
      <c r="M113" s="151">
        <v>34575.769999999997</v>
      </c>
      <c r="N113" s="115">
        <f t="shared" si="51"/>
        <v>28525.010249999996</v>
      </c>
      <c r="O113" s="134"/>
      <c r="P113" s="134" t="s">
        <v>2288</v>
      </c>
      <c r="Q113" s="115" t="s">
        <v>336</v>
      </c>
      <c r="R113" s="145">
        <v>34957</v>
      </c>
      <c r="S113" s="146">
        <v>45414</v>
      </c>
      <c r="T113" s="145">
        <v>28807</v>
      </c>
      <c r="U113" s="145">
        <v>42795</v>
      </c>
      <c r="V113" s="116"/>
      <c r="W113" s="116"/>
      <c r="X113" s="116"/>
      <c r="Y113" s="116"/>
      <c r="Z113" s="52"/>
      <c r="AA113" s="52"/>
      <c r="AB113" s="52"/>
      <c r="AC113" s="117"/>
      <c r="AD113" s="118" t="s">
        <v>1032</v>
      </c>
      <c r="AE113" s="164" t="s">
        <v>36</v>
      </c>
      <c r="AF113" s="165" t="s">
        <v>37</v>
      </c>
      <c r="AH113" s="118"/>
      <c r="AI113" s="118"/>
      <c r="AJ113" s="118"/>
      <c r="AL113" s="118"/>
      <c r="AM113" s="118"/>
      <c r="AN113" s="118"/>
    </row>
    <row r="114" spans="1:40" s="93" customFormat="1" ht="39.950000000000003" customHeight="1" x14ac:dyDescent="0.25">
      <c r="A114" s="110">
        <v>13</v>
      </c>
      <c r="B114" s="110"/>
      <c r="C114" s="140" t="s">
        <v>87</v>
      </c>
      <c r="D114" s="140" t="s">
        <v>2464</v>
      </c>
      <c r="E114" s="150" t="s">
        <v>2465</v>
      </c>
      <c r="F114" s="142" t="str">
        <f t="shared" si="48"/>
        <v>29 años 10 meses 1 días</v>
      </c>
      <c r="G114" s="149">
        <v>0.85</v>
      </c>
      <c r="H114" s="110" t="str">
        <f t="shared" si="49"/>
        <v>47 años 8 meses 23 días</v>
      </c>
      <c r="I114" s="110" t="str">
        <f t="shared" si="50"/>
        <v>8 años 2 meses 5 días</v>
      </c>
      <c r="J114" s="195"/>
      <c r="K114" s="196"/>
      <c r="L114" s="197"/>
      <c r="M114" s="151">
        <v>34575.78</v>
      </c>
      <c r="N114" s="115">
        <f t="shared" si="51"/>
        <v>29389.412999999997</v>
      </c>
      <c r="O114" s="134"/>
      <c r="P114" s="134" t="s">
        <v>2288</v>
      </c>
      <c r="Q114" s="115" t="s">
        <v>336</v>
      </c>
      <c r="R114" s="145">
        <v>34516</v>
      </c>
      <c r="S114" s="146">
        <v>45414</v>
      </c>
      <c r="T114" s="145">
        <v>27981</v>
      </c>
      <c r="U114" s="145">
        <v>42427</v>
      </c>
      <c r="V114" s="116"/>
      <c r="W114" s="116"/>
      <c r="X114" s="116"/>
      <c r="Y114" s="116"/>
      <c r="Z114" s="52"/>
      <c r="AA114" s="52"/>
      <c r="AB114" s="52"/>
      <c r="AC114" s="117"/>
      <c r="AD114" s="118" t="s">
        <v>35</v>
      </c>
      <c r="AE114" s="164" t="s">
        <v>36</v>
      </c>
      <c r="AF114" s="165" t="s">
        <v>37</v>
      </c>
      <c r="AH114" s="118"/>
      <c r="AI114" s="118"/>
      <c r="AJ114" s="118"/>
      <c r="AL114" s="118"/>
      <c r="AM114" s="118"/>
      <c r="AN114" s="118"/>
    </row>
    <row r="115" spans="1:40" s="93" customFormat="1" ht="39.950000000000003" customHeight="1" x14ac:dyDescent="0.25">
      <c r="A115" s="110">
        <v>14</v>
      </c>
      <c r="B115" s="110"/>
      <c r="C115" s="140" t="s">
        <v>87</v>
      </c>
      <c r="D115" s="140" t="s">
        <v>2466</v>
      </c>
      <c r="E115" s="150" t="s">
        <v>2467</v>
      </c>
      <c r="F115" s="142" t="str">
        <f>DATEDIF(R115,S115,"y") + DATEDIF(V115,W115,"y") + DATEDIF(X115,Y115,"y") + SUM(AH115) &amp; " años " &amp; DATEDIF(R115,S115,"ym") + DATEDIF(V115,W115,"ym") + DATEDIF(X115,Y115,"ym") + SUM(AI115) - SUM(AM115) &amp; " meses " &amp; DATEDIF(R115,S115,"md") + DATEDIF(V115,W115,"md") + DATEDIF(X115,Y115,"md") - SUM(AN115) &amp; " días"</f>
        <v>21 años 10 meses 1 días</v>
      </c>
      <c r="G115" s="149">
        <v>0.65</v>
      </c>
      <c r="H115" s="110" t="str">
        <f>DATEDIF(T115,S115,"y") &amp; " años " &amp; DATEDIF(T115,S115,"ym") &amp; " meses " &amp; DATEDIF(T115,S115,"md") &amp; " días"</f>
        <v>39 años 2 meses 20 días</v>
      </c>
      <c r="I115" s="110" t="str">
        <f>DATEDIF(U115,S115,"y") &amp; " años " &amp; DATEDIF(U115,S115,"ym") &amp; " meses " &amp; DATEDIF(U115,S115,"md") &amp; " días"</f>
        <v>3 años 2 meses 5 días</v>
      </c>
      <c r="J115" s="195"/>
      <c r="K115" s="196"/>
      <c r="L115" s="197"/>
      <c r="M115" s="151">
        <v>32541.77</v>
      </c>
      <c r="N115" s="115">
        <f>M115*G115</f>
        <v>21152.1505</v>
      </c>
      <c r="O115" s="134"/>
      <c r="P115" s="134" t="s">
        <v>2288</v>
      </c>
      <c r="Q115" s="115" t="s">
        <v>336</v>
      </c>
      <c r="R115" s="145">
        <v>37438</v>
      </c>
      <c r="S115" s="146">
        <v>45414</v>
      </c>
      <c r="T115" s="145">
        <v>31090</v>
      </c>
      <c r="U115" s="145">
        <v>44254</v>
      </c>
      <c r="V115" s="116"/>
      <c r="W115" s="116"/>
      <c r="X115" s="116"/>
      <c r="Y115" s="116"/>
      <c r="Z115" s="52"/>
      <c r="AA115" s="52"/>
      <c r="AB115" s="52"/>
      <c r="AC115" s="117"/>
      <c r="AD115" s="118" t="s">
        <v>134</v>
      </c>
      <c r="AE115" s="164" t="s">
        <v>36</v>
      </c>
      <c r="AF115" s="165" t="s">
        <v>37</v>
      </c>
      <c r="AH115" s="118"/>
      <c r="AI115" s="118"/>
      <c r="AJ115" s="118"/>
      <c r="AL115" s="118"/>
      <c r="AM115" s="118"/>
      <c r="AN115" s="118"/>
    </row>
    <row r="116" spans="1:40" s="93" customFormat="1" ht="39.950000000000003" customHeight="1" x14ac:dyDescent="0.25">
      <c r="A116" s="110">
        <v>15</v>
      </c>
      <c r="B116" s="110"/>
      <c r="C116" s="140" t="s">
        <v>118</v>
      </c>
      <c r="D116" s="140" t="s">
        <v>2468</v>
      </c>
      <c r="E116" s="150" t="s">
        <v>2469</v>
      </c>
      <c r="F116" s="142" t="str">
        <f t="shared" ref="F116" si="52">DATEDIF(R116,S116,"y") + DATEDIF(V116,W116,"y") + DATEDIF(X116,Y116,"y") + SUM(AH116) &amp; " años " &amp; DATEDIF(R116,S116,"ym") + DATEDIF(V116,W116,"ym") + DATEDIF(X116,Y116,"ym") + SUM(AI116) - SUM(AM116) &amp; " meses " &amp; DATEDIF(R116,S116,"md") + DATEDIF(V116,W116,"md") + DATEDIF(X116,Y116,"md") - SUM(AN116) &amp; " días"</f>
        <v>21 años 3 meses 25 días</v>
      </c>
      <c r="G116" s="149">
        <v>0.625</v>
      </c>
      <c r="H116" s="110" t="str">
        <f t="shared" ref="H116" si="53">DATEDIF(T116,S116,"y") &amp; " años " &amp; DATEDIF(T116,S116,"ym") &amp; " meses " &amp; DATEDIF(T116,S116,"md") &amp; " días"</f>
        <v>38 años 6 meses 20 días</v>
      </c>
      <c r="I116" s="110" t="str">
        <f t="shared" ref="I116" si="54">DATEDIF(U116,S116,"y") &amp; " años " &amp; DATEDIF(U116,S116,"ym") &amp; " meses " &amp; DATEDIF(U116,S116,"md") &amp; " días"</f>
        <v>2 años 2 meses 29 días</v>
      </c>
      <c r="J116" s="195"/>
      <c r="K116" s="196"/>
      <c r="L116" s="197"/>
      <c r="M116" s="151">
        <v>23401.71</v>
      </c>
      <c r="N116" s="115">
        <f>M116*G116</f>
        <v>14626.068749999999</v>
      </c>
      <c r="O116" s="134" t="s">
        <v>2412</v>
      </c>
      <c r="P116" s="134" t="s">
        <v>2288</v>
      </c>
      <c r="Q116" s="115" t="s">
        <v>338</v>
      </c>
      <c r="R116" s="145">
        <v>36923</v>
      </c>
      <c r="S116" s="146">
        <v>44707</v>
      </c>
      <c r="T116" s="145">
        <v>30626</v>
      </c>
      <c r="U116" s="145">
        <v>43888</v>
      </c>
      <c r="V116" s="116"/>
      <c r="W116" s="116"/>
      <c r="X116" s="116"/>
      <c r="Y116" s="116"/>
      <c r="Z116" s="52"/>
      <c r="AA116" s="52"/>
      <c r="AB116" s="52"/>
      <c r="AC116" s="117"/>
      <c r="AD116" s="118" t="s">
        <v>1032</v>
      </c>
      <c r="AE116" s="164" t="s">
        <v>36</v>
      </c>
      <c r="AF116" s="165" t="s">
        <v>37</v>
      </c>
      <c r="AH116" s="118"/>
      <c r="AI116" s="118"/>
      <c r="AJ116" s="118"/>
      <c r="AL116" s="118"/>
      <c r="AM116" s="118"/>
      <c r="AN116" s="118"/>
    </row>
    <row r="117" spans="1:40" s="93" customFormat="1" ht="39.950000000000003" customHeight="1" x14ac:dyDescent="0.25">
      <c r="A117" s="110">
        <v>16</v>
      </c>
      <c r="B117" s="110"/>
      <c r="C117" s="140" t="s">
        <v>122</v>
      </c>
      <c r="D117" s="140" t="s">
        <v>2470</v>
      </c>
      <c r="E117" s="150" t="s">
        <v>2471</v>
      </c>
      <c r="F117" s="142" t="str">
        <f>DATEDIF(R117,S117,"y") + DATEDIF(V117,W117,"y") + DATEDIF(X117,Y117,"y") + SUM(AH117) &amp; " años " &amp; DATEDIF(R117,S117,"ym") + DATEDIF(V117,W117,"ym") + DATEDIF(X117,Y117,"ym") + SUM(AI117) - SUM(AM117) &amp; " meses " &amp; DATEDIF(R117,S117,"md") + DATEDIF(V117,W117,"md") + DATEDIF(X117,Y117,"md") - SUM(AN117) &amp; " días"</f>
        <v>25 años 0 meses 1 días</v>
      </c>
      <c r="G117" s="149">
        <v>0.72499999999999998</v>
      </c>
      <c r="H117" s="110" t="str">
        <f>DATEDIF(T117,S117,"y") &amp; " años " &amp; DATEDIF(T117,S117,"ym") &amp; " meses " &amp; DATEDIF(T117,S117,"md") &amp; " días"</f>
        <v>43 años 3 meses 0 días</v>
      </c>
      <c r="I117" s="110" t="str">
        <f>DATEDIF(U117,S117,"y") &amp; " años " &amp; DATEDIF(U117,S117,"ym") &amp; " meses " &amp; DATEDIF(U117,S117,"md") &amp; " días"</f>
        <v>8 años 2 meses 5 días</v>
      </c>
      <c r="J117" s="195"/>
      <c r="K117" s="196"/>
      <c r="L117" s="197"/>
      <c r="M117" s="151">
        <v>32541.78</v>
      </c>
      <c r="N117" s="115">
        <f>M117*G117</f>
        <v>23592.790499999999</v>
      </c>
      <c r="O117" s="134"/>
      <c r="P117" s="134" t="s">
        <v>2288</v>
      </c>
      <c r="Q117" s="115" t="s">
        <v>336</v>
      </c>
      <c r="R117" s="145">
        <v>36281</v>
      </c>
      <c r="S117" s="146">
        <v>45414</v>
      </c>
      <c r="T117" s="145">
        <v>29619</v>
      </c>
      <c r="U117" s="145">
        <v>42427</v>
      </c>
      <c r="V117" s="116"/>
      <c r="W117" s="116"/>
      <c r="X117" s="116"/>
      <c r="Y117" s="116"/>
      <c r="Z117" s="52"/>
      <c r="AA117" s="52"/>
      <c r="AB117" s="52"/>
      <c r="AC117" s="117"/>
      <c r="AD117" s="163" t="s">
        <v>190</v>
      </c>
      <c r="AE117" s="164" t="s">
        <v>36</v>
      </c>
      <c r="AF117" s="165" t="s">
        <v>37</v>
      </c>
      <c r="AH117" s="118"/>
      <c r="AI117" s="118"/>
      <c r="AJ117" s="118"/>
      <c r="AL117" s="118"/>
      <c r="AM117" s="118"/>
      <c r="AN117" s="118"/>
    </row>
    <row r="118" spans="1:40" s="93" customFormat="1" ht="39.950000000000003" customHeight="1" x14ac:dyDescent="0.25">
      <c r="A118" s="110">
        <v>17</v>
      </c>
      <c r="B118" s="110"/>
      <c r="C118" s="140" t="s">
        <v>122</v>
      </c>
      <c r="D118" s="140" t="s">
        <v>2472</v>
      </c>
      <c r="E118" s="150" t="s">
        <v>2473</v>
      </c>
      <c r="F118" s="142" t="str">
        <f>DATEDIF(R118,S118,"y") + DATEDIF(V118,W118,"y") + DATEDIF(X118,Y118,"y") + SUM(AH118) &amp; " años " &amp; DATEDIF(R118,S118,"ym") + DATEDIF(V118,W118,"ym") + DATEDIF(X118,Y118,"ym") + SUM(AI118) - SUM(AM118) &amp; " meses " &amp; DATEDIF(R118,S118,"md") + DATEDIF(V118,W118,"md") + DATEDIF(X118,Y118,"md") - SUM(AN118) &amp; " días"</f>
        <v>24 años 6 meses 1 días</v>
      </c>
      <c r="G118" s="149">
        <v>0.72499999999999998</v>
      </c>
      <c r="H118" s="110" t="str">
        <f>DATEDIF(T118,S118,"y") &amp; " años " &amp; DATEDIF(T118,S118,"ym") &amp; " meses " &amp; DATEDIF(T118,S118,"md") &amp; " días"</f>
        <v>61 años 3 meses 14 días</v>
      </c>
      <c r="I118" s="110" t="str">
        <f>DATEDIF(U118,S118,"y") &amp; " años " &amp; DATEDIF(U118,S118,"ym") &amp; " meses " &amp; DATEDIF(U118,S118,"md") &amp; " días"</f>
        <v>5 años 2 meses 5 días</v>
      </c>
      <c r="J118" s="195"/>
      <c r="K118" s="196"/>
      <c r="L118" s="197"/>
      <c r="M118" s="151">
        <v>32541.78</v>
      </c>
      <c r="N118" s="115">
        <f>M118*G118</f>
        <v>23592.790499999999</v>
      </c>
      <c r="O118" s="134"/>
      <c r="P118" s="134" t="s">
        <v>2288</v>
      </c>
      <c r="Q118" s="115" t="s">
        <v>336</v>
      </c>
      <c r="R118" s="145">
        <v>36465</v>
      </c>
      <c r="S118" s="146">
        <v>45414</v>
      </c>
      <c r="T118" s="145">
        <v>23029</v>
      </c>
      <c r="U118" s="145">
        <v>43523</v>
      </c>
      <c r="V118" s="116"/>
      <c r="W118" s="116"/>
      <c r="X118" s="116"/>
      <c r="Y118" s="116"/>
      <c r="Z118" s="52"/>
      <c r="AA118" s="52"/>
      <c r="AB118" s="52"/>
      <c r="AC118" s="117"/>
      <c r="AD118" s="163" t="s">
        <v>1032</v>
      </c>
      <c r="AE118" s="164" t="s">
        <v>36</v>
      </c>
      <c r="AF118" s="165" t="s">
        <v>37</v>
      </c>
      <c r="AH118" s="118"/>
      <c r="AI118" s="118"/>
      <c r="AJ118" s="118"/>
      <c r="AL118" s="118"/>
      <c r="AM118" s="118"/>
      <c r="AN118" s="118"/>
    </row>
    <row r="119" spans="1:40" s="93" customFormat="1" ht="39.950000000000003" customHeight="1" x14ac:dyDescent="0.25">
      <c r="A119" s="110">
        <v>18</v>
      </c>
      <c r="B119" s="150"/>
      <c r="C119" s="140" t="s">
        <v>2071</v>
      </c>
      <c r="D119" s="140" t="s">
        <v>2474</v>
      </c>
      <c r="E119" s="150" t="s">
        <v>2475</v>
      </c>
      <c r="F119" s="142" t="str">
        <f t="shared" ref="F119" si="55">DATEDIF(R119,S119,"y") + DATEDIF(V119,W119,"y") + DATEDIF(X119,Y119,"y") + SUM(AH119) &amp; " años " &amp; DATEDIF(R119,S119,"ym") + DATEDIF(V119,W119,"ym") + DATEDIF(X119,Y119,"ym") + SUM(AI119) - SUM(AM119) &amp; " meses " &amp; DATEDIF(R119,S119,"md") + DATEDIF(V119,W119,"md") + DATEDIF(X119,Y119,"md") - SUM(AN119) &amp; " días"</f>
        <v>21 años 5 meses 24 días</v>
      </c>
      <c r="G119" s="149">
        <v>0.625</v>
      </c>
      <c r="H119" s="110" t="str">
        <f t="shared" ref="H119:H127" si="56">DATEDIF(T119,S119,"y") &amp; " años " &amp; DATEDIF(T119,S119,"ym") &amp; " meses " &amp; DATEDIF(T119,S119,"md") &amp; " días"</f>
        <v>37 años 4 meses 25 días</v>
      </c>
      <c r="I119" s="110" t="str">
        <f t="shared" ref="I119:I120" si="57">DATEDIF(U119,S119,"y") &amp; " años " &amp; DATEDIF(U119,S119,"ym") &amp; " meses " &amp; DATEDIF(U119,S119,"md") &amp; " días"</f>
        <v>3 años 4 meses 22 días</v>
      </c>
      <c r="J119" s="195"/>
      <c r="K119" s="196"/>
      <c r="L119" s="197"/>
      <c r="M119" s="151"/>
      <c r="N119" s="115">
        <v>10000</v>
      </c>
      <c r="O119" s="134" t="s">
        <v>2412</v>
      </c>
      <c r="P119" s="134" t="s">
        <v>33</v>
      </c>
      <c r="Q119" s="115" t="s">
        <v>338</v>
      </c>
      <c r="R119" s="145">
        <v>30787</v>
      </c>
      <c r="S119" s="146">
        <v>37825</v>
      </c>
      <c r="T119" s="145">
        <v>24166</v>
      </c>
      <c r="U119" s="145">
        <v>36586</v>
      </c>
      <c r="V119" s="116">
        <v>40466</v>
      </c>
      <c r="W119" s="116">
        <v>41274</v>
      </c>
      <c r="X119" s="116"/>
      <c r="Y119" s="116"/>
      <c r="Z119" s="52"/>
      <c r="AA119" s="52"/>
      <c r="AB119" s="52"/>
      <c r="AC119" s="117"/>
      <c r="AD119" s="118" t="s">
        <v>293</v>
      </c>
      <c r="AE119" s="164" t="s">
        <v>36</v>
      </c>
      <c r="AF119" s="165" t="s">
        <v>37</v>
      </c>
      <c r="AH119" s="118"/>
      <c r="AI119" s="118"/>
      <c r="AJ119" s="118"/>
      <c r="AL119" s="118"/>
      <c r="AM119" s="118"/>
      <c r="AN119" s="118"/>
    </row>
    <row r="120" spans="1:40" s="93" customFormat="1" ht="39.950000000000003" customHeight="1" x14ac:dyDescent="0.25">
      <c r="A120" s="110">
        <v>19</v>
      </c>
      <c r="B120" s="110"/>
      <c r="C120" s="140" t="s">
        <v>149</v>
      </c>
      <c r="D120" s="140" t="s">
        <v>2476</v>
      </c>
      <c r="E120" s="150" t="s">
        <v>2477</v>
      </c>
      <c r="F120" s="142" t="str">
        <f t="shared" ref="F120:F126" si="58">DATEDIF(R120,S120,"y") + DATEDIF(V120,W120,"y") + DATEDIF(X120,Y120,"y") + SUM(AH120) &amp; " años " &amp; DATEDIF(R120,S120,"ym") + DATEDIF(V120,W120,"ym") + DATEDIF(X120,Y120,"ym") + SUM(AI120) - SUM(AM120) &amp; " meses " &amp; DATEDIF(R120,S120,"md") + DATEDIF(V120,W120,"md") + DATEDIF(X120,Y120,"md") - SUM(AN120) &amp; " días"</f>
        <v>20 años 8 meses 21 días</v>
      </c>
      <c r="G120" s="149">
        <v>0.625</v>
      </c>
      <c r="H120" s="110" t="str">
        <f t="shared" si="56"/>
        <v>39 años 6 meses 2 días</v>
      </c>
      <c r="I120" s="110" t="str">
        <f t="shared" si="57"/>
        <v>4 años 4 meses 24 días</v>
      </c>
      <c r="J120" s="195"/>
      <c r="K120" s="196"/>
      <c r="L120" s="197"/>
      <c r="M120" s="151">
        <v>22588.39</v>
      </c>
      <c r="N120" s="115">
        <f>M120*G120</f>
        <v>14117.74375</v>
      </c>
      <c r="O120" s="134" t="s">
        <v>2412</v>
      </c>
      <c r="P120" s="134" t="s">
        <v>33</v>
      </c>
      <c r="Q120" s="115" t="s">
        <v>339</v>
      </c>
      <c r="R120" s="145">
        <v>40512</v>
      </c>
      <c r="S120" s="146">
        <v>45128</v>
      </c>
      <c r="T120" s="145">
        <v>30700</v>
      </c>
      <c r="U120" s="145">
        <v>43523</v>
      </c>
      <c r="V120" s="116">
        <v>37544</v>
      </c>
      <c r="W120" s="116">
        <v>40497</v>
      </c>
      <c r="X120" s="116"/>
      <c r="Y120" s="116"/>
      <c r="Z120" s="52"/>
      <c r="AA120" s="52"/>
      <c r="AB120" s="52"/>
      <c r="AC120" s="117"/>
      <c r="AD120" s="118" t="s">
        <v>35</v>
      </c>
      <c r="AE120" s="164" t="s">
        <v>36</v>
      </c>
      <c r="AF120" s="165" t="s">
        <v>37</v>
      </c>
      <c r="AH120" s="118"/>
      <c r="AI120" s="118"/>
      <c r="AJ120" s="118"/>
      <c r="AL120" s="118"/>
      <c r="AM120" s="118"/>
      <c r="AN120" s="118"/>
    </row>
    <row r="121" spans="1:40" s="93" customFormat="1" ht="39.950000000000003" customHeight="1" x14ac:dyDescent="0.25">
      <c r="A121" s="110">
        <v>20</v>
      </c>
      <c r="B121" s="110"/>
      <c r="C121" s="148" t="s">
        <v>300</v>
      </c>
      <c r="D121" s="152" t="s">
        <v>2478</v>
      </c>
      <c r="E121" s="153" t="s">
        <v>2479</v>
      </c>
      <c r="F121" s="142" t="str">
        <f t="shared" si="58"/>
        <v>28 años 2 meses 5 días</v>
      </c>
      <c r="G121" s="143">
        <v>0.8</v>
      </c>
      <c r="H121" s="110" t="str">
        <f t="shared" si="56"/>
        <v>62 años 1 meses 28 días</v>
      </c>
      <c r="I121" s="110"/>
      <c r="J121" s="195"/>
      <c r="K121" s="196"/>
      <c r="L121" s="197"/>
      <c r="M121" s="144">
        <v>12139.96</v>
      </c>
      <c r="N121" s="115">
        <v>10000</v>
      </c>
      <c r="O121" s="134"/>
      <c r="P121" s="134" t="s">
        <v>2480</v>
      </c>
      <c r="Q121" s="115" t="s">
        <v>336</v>
      </c>
      <c r="R121" s="154">
        <v>35122</v>
      </c>
      <c r="S121" s="154">
        <v>45414</v>
      </c>
      <c r="T121" s="155">
        <v>22709</v>
      </c>
      <c r="U121" s="145"/>
      <c r="V121" s="116"/>
      <c r="W121" s="116"/>
      <c r="X121" s="116"/>
      <c r="Y121" s="116"/>
      <c r="Z121" s="52"/>
      <c r="AA121" s="52"/>
      <c r="AB121" s="52"/>
      <c r="AC121" s="117"/>
      <c r="AD121" s="118" t="s">
        <v>134</v>
      </c>
      <c r="AE121" s="164" t="s">
        <v>36</v>
      </c>
      <c r="AF121" s="165" t="s">
        <v>37</v>
      </c>
      <c r="AH121" s="118"/>
      <c r="AI121" s="118"/>
      <c r="AJ121" s="118"/>
      <c r="AL121" s="118"/>
      <c r="AM121" s="118"/>
      <c r="AN121" s="118"/>
    </row>
    <row r="122" spans="1:40" s="93" customFormat="1" ht="39.950000000000003" customHeight="1" x14ac:dyDescent="0.25">
      <c r="A122" s="110">
        <v>21</v>
      </c>
      <c r="B122" s="110"/>
      <c r="C122" s="148" t="s">
        <v>300</v>
      </c>
      <c r="D122" s="152" t="s">
        <v>2481</v>
      </c>
      <c r="E122" s="153" t="s">
        <v>2482</v>
      </c>
      <c r="F122" s="142" t="str">
        <f t="shared" si="58"/>
        <v>28 años 2 meses 5 días</v>
      </c>
      <c r="G122" s="143">
        <v>0.8</v>
      </c>
      <c r="H122" s="110" t="str">
        <f t="shared" si="56"/>
        <v>63 años 9 meses 8 días</v>
      </c>
      <c r="I122" s="110"/>
      <c r="J122" s="195"/>
      <c r="K122" s="196"/>
      <c r="L122" s="197"/>
      <c r="M122" s="144">
        <v>10150</v>
      </c>
      <c r="N122" s="115">
        <v>10000</v>
      </c>
      <c r="O122" s="134"/>
      <c r="P122" s="134" t="s">
        <v>2480</v>
      </c>
      <c r="Q122" s="115" t="s">
        <v>336</v>
      </c>
      <c r="R122" s="154">
        <v>35122</v>
      </c>
      <c r="S122" s="154">
        <v>45414</v>
      </c>
      <c r="T122" s="155">
        <v>22121</v>
      </c>
      <c r="U122" s="145"/>
      <c r="V122" s="116"/>
      <c r="W122" s="116"/>
      <c r="X122" s="116"/>
      <c r="Y122" s="116"/>
      <c r="Z122" s="52"/>
      <c r="AA122" s="52"/>
      <c r="AB122" s="52"/>
      <c r="AC122" s="117"/>
      <c r="AD122" s="118" t="s">
        <v>1032</v>
      </c>
      <c r="AE122" s="164" t="s">
        <v>36</v>
      </c>
      <c r="AF122" s="165" t="s">
        <v>37</v>
      </c>
      <c r="AH122" s="118"/>
      <c r="AI122" s="118"/>
      <c r="AJ122" s="118"/>
      <c r="AL122" s="118"/>
      <c r="AM122" s="118"/>
      <c r="AN122" s="118"/>
    </row>
    <row r="123" spans="1:40" s="93" customFormat="1" ht="39.950000000000003" customHeight="1" x14ac:dyDescent="0.25">
      <c r="A123" s="110">
        <v>22</v>
      </c>
      <c r="B123" s="110"/>
      <c r="C123" s="148" t="s">
        <v>300</v>
      </c>
      <c r="D123" s="140" t="s">
        <v>2483</v>
      </c>
      <c r="E123" s="150" t="s">
        <v>2484</v>
      </c>
      <c r="F123" s="142" t="str">
        <f t="shared" si="58"/>
        <v>22 años 2 meses 5 días</v>
      </c>
      <c r="G123" s="149">
        <v>0.65</v>
      </c>
      <c r="H123" s="110" t="str">
        <f t="shared" si="56"/>
        <v>50 años 2 meses 5 días</v>
      </c>
      <c r="I123" s="110"/>
      <c r="J123" s="195"/>
      <c r="K123" s="196"/>
      <c r="L123" s="197"/>
      <c r="M123" s="151">
        <v>12139.93</v>
      </c>
      <c r="N123" s="115">
        <v>10000</v>
      </c>
      <c r="O123" s="134"/>
      <c r="P123" s="134" t="s">
        <v>2480</v>
      </c>
      <c r="Q123" s="115" t="s">
        <v>336</v>
      </c>
      <c r="R123" s="145">
        <v>37314</v>
      </c>
      <c r="S123" s="146">
        <v>45414</v>
      </c>
      <c r="T123" s="145">
        <v>27087</v>
      </c>
      <c r="U123" s="145"/>
      <c r="V123" s="116"/>
      <c r="W123" s="116"/>
      <c r="X123" s="116"/>
      <c r="Y123" s="116"/>
      <c r="Z123" s="52"/>
      <c r="AA123" s="52"/>
      <c r="AB123" s="52"/>
      <c r="AC123" s="117"/>
      <c r="AD123" s="118" t="s">
        <v>35</v>
      </c>
      <c r="AE123" s="164" t="s">
        <v>36</v>
      </c>
      <c r="AF123" s="165" t="s">
        <v>37</v>
      </c>
      <c r="AH123" s="118"/>
      <c r="AI123" s="118"/>
      <c r="AJ123" s="118"/>
      <c r="AL123" s="118"/>
      <c r="AM123" s="118"/>
      <c r="AN123" s="118"/>
    </row>
    <row r="124" spans="1:40" s="93" customFormat="1" ht="39.950000000000003" customHeight="1" x14ac:dyDescent="0.25">
      <c r="A124" s="110">
        <v>23</v>
      </c>
      <c r="B124" s="110"/>
      <c r="C124" s="148" t="s">
        <v>300</v>
      </c>
      <c r="D124" s="152" t="s">
        <v>2485</v>
      </c>
      <c r="E124" s="153" t="s">
        <v>2486</v>
      </c>
      <c r="F124" s="142" t="str">
        <f t="shared" si="58"/>
        <v>22 años 2 meses 5 días</v>
      </c>
      <c r="G124" s="149">
        <v>1</v>
      </c>
      <c r="H124" s="110" t="str">
        <f t="shared" si="56"/>
        <v>57 años 1 meses 26 días</v>
      </c>
      <c r="I124" s="110"/>
      <c r="J124" s="195"/>
      <c r="K124" s="196"/>
      <c r="L124" s="197"/>
      <c r="M124" s="115">
        <v>20300</v>
      </c>
      <c r="N124" s="115">
        <f>M124*G124</f>
        <v>20300</v>
      </c>
      <c r="O124" s="134" t="s">
        <v>2311</v>
      </c>
      <c r="P124" s="134" t="s">
        <v>33</v>
      </c>
      <c r="Q124" s="115" t="s">
        <v>337</v>
      </c>
      <c r="R124" s="154">
        <v>37314</v>
      </c>
      <c r="S124" s="154">
        <v>45414</v>
      </c>
      <c r="T124" s="155">
        <v>24537</v>
      </c>
      <c r="U124" s="155"/>
      <c r="V124" s="116"/>
      <c r="W124" s="116"/>
      <c r="X124" s="116"/>
      <c r="Y124" s="116"/>
      <c r="Z124"/>
      <c r="AA124"/>
      <c r="AB124"/>
      <c r="AC124" s="117"/>
      <c r="AD124" s="118" t="s">
        <v>134</v>
      </c>
      <c r="AE124" s="164" t="s">
        <v>36</v>
      </c>
      <c r="AF124" s="165" t="s">
        <v>37</v>
      </c>
      <c r="AH124" s="118"/>
      <c r="AI124" s="118"/>
      <c r="AJ124" s="118"/>
      <c r="AL124" s="118"/>
      <c r="AM124" s="118"/>
      <c r="AN124" s="118"/>
    </row>
    <row r="125" spans="1:40" s="93" customFormat="1" ht="39.950000000000003" customHeight="1" x14ac:dyDescent="0.25">
      <c r="A125" s="110">
        <v>24</v>
      </c>
      <c r="B125" s="110"/>
      <c r="C125" s="148" t="s">
        <v>300</v>
      </c>
      <c r="D125" s="152" t="s">
        <v>2487</v>
      </c>
      <c r="E125" s="153" t="s">
        <v>2488</v>
      </c>
      <c r="F125" s="142" t="str">
        <f t="shared" si="58"/>
        <v>31 años 2 meses 5 días</v>
      </c>
      <c r="G125" s="143">
        <v>1</v>
      </c>
      <c r="H125" s="110" t="str">
        <f t="shared" si="56"/>
        <v>62 años 5 meses 21 días</v>
      </c>
      <c r="I125" s="110"/>
      <c r="J125" s="195"/>
      <c r="K125" s="196"/>
      <c r="L125" s="197"/>
      <c r="M125" s="115">
        <v>12139.93</v>
      </c>
      <c r="N125" s="115">
        <f>M125*G125</f>
        <v>12139.93</v>
      </c>
      <c r="O125" s="134" t="s">
        <v>2311</v>
      </c>
      <c r="P125" s="134" t="s">
        <v>33</v>
      </c>
      <c r="Q125" s="115" t="s">
        <v>337</v>
      </c>
      <c r="R125" s="154">
        <v>34027</v>
      </c>
      <c r="S125" s="154">
        <v>45414</v>
      </c>
      <c r="T125" s="155">
        <v>22596</v>
      </c>
      <c r="U125" s="155"/>
      <c r="V125" s="116"/>
      <c r="W125" s="116"/>
      <c r="X125" s="116"/>
      <c r="Y125" s="116"/>
      <c r="Z125"/>
      <c r="AA125"/>
      <c r="AB125"/>
      <c r="AC125" s="117"/>
      <c r="AD125" s="118" t="s">
        <v>134</v>
      </c>
      <c r="AE125" s="164" t="s">
        <v>36</v>
      </c>
      <c r="AF125" s="165" t="s">
        <v>37</v>
      </c>
      <c r="AH125" s="118"/>
      <c r="AI125" s="118"/>
      <c r="AJ125" s="118"/>
      <c r="AL125" s="118"/>
      <c r="AM125" s="118"/>
      <c r="AN125" s="118"/>
    </row>
    <row r="126" spans="1:40" s="93" customFormat="1" ht="39.950000000000003" customHeight="1" x14ac:dyDescent="0.25">
      <c r="A126" s="110">
        <v>25</v>
      </c>
      <c r="B126" s="110"/>
      <c r="C126" s="148" t="s">
        <v>300</v>
      </c>
      <c r="D126" s="152" t="s">
        <v>2489</v>
      </c>
      <c r="E126" s="153" t="s">
        <v>2490</v>
      </c>
      <c r="F126" s="142" t="str">
        <f t="shared" si="58"/>
        <v>29 años 6 meses 6 días</v>
      </c>
      <c r="G126" s="149">
        <v>1</v>
      </c>
      <c r="H126" s="110" t="str">
        <f t="shared" si="56"/>
        <v>57 años 0 meses 24 días</v>
      </c>
      <c r="I126" s="110"/>
      <c r="J126" s="195"/>
      <c r="K126" s="196"/>
      <c r="L126" s="197"/>
      <c r="M126" s="115">
        <v>11600</v>
      </c>
      <c r="N126" s="115">
        <v>11600</v>
      </c>
      <c r="O126" s="134" t="s">
        <v>2311</v>
      </c>
      <c r="P126" s="134" t="s">
        <v>33</v>
      </c>
      <c r="Q126" s="115" t="s">
        <v>337</v>
      </c>
      <c r="R126" s="154">
        <v>38961</v>
      </c>
      <c r="S126" s="154">
        <v>45414</v>
      </c>
      <c r="T126" s="154">
        <v>24570</v>
      </c>
      <c r="U126" s="155"/>
      <c r="V126" s="116">
        <v>34136</v>
      </c>
      <c r="W126" s="116">
        <v>38463</v>
      </c>
      <c r="X126" s="116"/>
      <c r="Y126" s="116"/>
      <c r="Z126"/>
      <c r="AA126"/>
      <c r="AB126"/>
      <c r="AC126" s="117"/>
      <c r="AD126" s="118" t="s">
        <v>134</v>
      </c>
      <c r="AE126" s="164" t="s">
        <v>36</v>
      </c>
      <c r="AF126" s="165" t="s">
        <v>37</v>
      </c>
      <c r="AH126" s="118">
        <v>1</v>
      </c>
      <c r="AI126" s="118"/>
      <c r="AJ126" s="118"/>
      <c r="AL126" s="118"/>
      <c r="AM126" s="118">
        <v>12</v>
      </c>
      <c r="AN126" s="118"/>
    </row>
    <row r="127" spans="1:40" s="93" customFormat="1" ht="39.950000000000003" customHeight="1" x14ac:dyDescent="0.25">
      <c r="A127" s="110">
        <v>26</v>
      </c>
      <c r="B127" s="110"/>
      <c r="C127" s="140" t="s">
        <v>230</v>
      </c>
      <c r="D127" s="140" t="s">
        <v>2491</v>
      </c>
      <c r="E127" s="141" t="s">
        <v>2492</v>
      </c>
      <c r="F127" s="142" t="str">
        <f t="shared" ref="F127" si="59">DATEDIF(R127,S127,"y") + DATEDIF(V127,W127,"y") + DATEDIF(X127,Y127,"y") + SUM(AH127) &amp; " años " &amp; DATEDIF(R127,S127,"ym") + DATEDIF(V127,W127,"ym") + DATEDIF(X127,Y127,"ym") + SUM(AI127) - SUM(AM127) &amp; " meses " &amp; DATEDIF(R127,S127,"md") + DATEDIF(V127,W127,"md") + DATEDIF(X127,Y127,"md") - SUM(AN127) &amp; " días"</f>
        <v>20 años 0 meses 26 días</v>
      </c>
      <c r="G127" s="149">
        <v>0.6</v>
      </c>
      <c r="H127" s="110" t="str">
        <f t="shared" si="56"/>
        <v>44 años 4 meses 23 días</v>
      </c>
      <c r="I127" s="110"/>
      <c r="J127" s="195"/>
      <c r="K127" s="196"/>
      <c r="L127" s="197"/>
      <c r="M127" s="144"/>
      <c r="N127" s="115">
        <v>10000</v>
      </c>
      <c r="O127" s="134" t="s">
        <v>2412</v>
      </c>
      <c r="P127" s="134" t="s">
        <v>33</v>
      </c>
      <c r="Q127" s="115" t="s">
        <v>338</v>
      </c>
      <c r="R127" s="145">
        <v>37314</v>
      </c>
      <c r="S127" s="146">
        <v>44645</v>
      </c>
      <c r="T127" s="145">
        <v>28428</v>
      </c>
      <c r="U127" s="145"/>
      <c r="V127" s="116"/>
      <c r="W127" s="116"/>
      <c r="X127" s="116"/>
      <c r="Y127" s="116"/>
      <c r="Z127" s="52"/>
      <c r="AA127" s="52"/>
      <c r="AB127" s="52"/>
      <c r="AC127" s="117"/>
      <c r="AD127" s="118" t="s">
        <v>35</v>
      </c>
      <c r="AE127" s="164" t="s">
        <v>36</v>
      </c>
      <c r="AF127" s="165" t="s">
        <v>37</v>
      </c>
      <c r="AH127" s="118"/>
      <c r="AI127" s="118"/>
      <c r="AJ127" s="118"/>
      <c r="AL127" s="118"/>
      <c r="AM127" s="118"/>
      <c r="AN127" s="118"/>
    </row>
    <row r="128" spans="1:40" ht="12.75" customHeight="1" x14ac:dyDescent="0.25"/>
    <row r="129" spans="1:40" s="91" customFormat="1" x14ac:dyDescent="0.25">
      <c r="A129" s="191" t="s">
        <v>316</v>
      </c>
      <c r="B129" s="191"/>
      <c r="C129" s="191"/>
      <c r="D129" s="191"/>
      <c r="E129" s="191"/>
      <c r="F129" s="191"/>
      <c r="G129" s="191"/>
      <c r="H129" s="191"/>
      <c r="I129" s="191"/>
      <c r="J129" s="191"/>
      <c r="K129" s="191"/>
      <c r="L129" s="191"/>
      <c r="M129" s="191"/>
      <c r="N129" s="191"/>
      <c r="O129" s="191"/>
      <c r="P129" s="191"/>
      <c r="Q129" s="191"/>
      <c r="R129" s="138"/>
      <c r="S129" s="90"/>
      <c r="T129" s="90"/>
      <c r="Z129" s="52"/>
      <c r="AA129" s="52"/>
      <c r="AB129" s="52"/>
      <c r="AD129" s="92"/>
      <c r="AG129" s="93"/>
      <c r="AH129" s="181"/>
      <c r="AI129" s="181"/>
      <c r="AJ129" s="181"/>
      <c r="AL129" s="181"/>
      <c r="AM129" s="181"/>
      <c r="AN129" s="181"/>
    </row>
    <row r="130" spans="1:40" s="104" customFormat="1" ht="30" customHeight="1" x14ac:dyDescent="0.25">
      <c r="A130" s="94" t="s">
        <v>4</v>
      </c>
      <c r="B130" s="94" t="s">
        <v>5</v>
      </c>
      <c r="C130" s="95" t="s">
        <v>6</v>
      </c>
      <c r="D130" s="95" t="s">
        <v>7</v>
      </c>
      <c r="E130" s="94" t="s">
        <v>8</v>
      </c>
      <c r="F130" s="96" t="s">
        <v>9</v>
      </c>
      <c r="G130" s="96" t="s">
        <v>10</v>
      </c>
      <c r="H130" s="95" t="s">
        <v>11</v>
      </c>
      <c r="I130" s="97" t="s">
        <v>12</v>
      </c>
      <c r="J130" s="182" t="s">
        <v>13</v>
      </c>
      <c r="K130" s="183"/>
      <c r="L130" s="98" t="s">
        <v>14</v>
      </c>
      <c r="M130" s="99" t="s">
        <v>15</v>
      </c>
      <c r="N130" s="99" t="s">
        <v>16</v>
      </c>
      <c r="O130" s="99" t="s">
        <v>17</v>
      </c>
      <c r="P130" s="99" t="s">
        <v>18</v>
      </c>
      <c r="Q130" s="99" t="s">
        <v>335</v>
      </c>
      <c r="R130" s="99" t="s">
        <v>1950</v>
      </c>
      <c r="S130" s="100" t="s">
        <v>19</v>
      </c>
      <c r="T130" s="100" t="s">
        <v>20</v>
      </c>
      <c r="U130" s="101" t="s">
        <v>21</v>
      </c>
      <c r="V130" s="95" t="s">
        <v>13</v>
      </c>
      <c r="W130" s="100" t="s">
        <v>19</v>
      </c>
      <c r="X130" s="100" t="s">
        <v>20</v>
      </c>
      <c r="Y130" s="100" t="s">
        <v>19</v>
      </c>
      <c r="Z130" s="100" t="s">
        <v>20</v>
      </c>
      <c r="AA130" s="52"/>
      <c r="AB130" s="52"/>
      <c r="AC130" s="102"/>
      <c r="AD130" s="100" t="s">
        <v>22</v>
      </c>
      <c r="AE130" s="100" t="s">
        <v>23</v>
      </c>
      <c r="AF130" s="100" t="s">
        <v>24</v>
      </c>
      <c r="AG130" s="93"/>
      <c r="AH130" s="103" t="s">
        <v>25</v>
      </c>
      <c r="AI130" s="103" t="s">
        <v>26</v>
      </c>
      <c r="AJ130" s="103" t="s">
        <v>27</v>
      </c>
      <c r="AK130" s="93"/>
      <c r="AL130" s="103" t="s">
        <v>25</v>
      </c>
      <c r="AM130" s="103" t="s">
        <v>26</v>
      </c>
      <c r="AN130" s="103" t="s">
        <v>28</v>
      </c>
    </row>
    <row r="131" spans="1:40" s="93" customFormat="1" ht="39.950000000000003" customHeight="1" x14ac:dyDescent="0.25">
      <c r="A131" s="110">
        <v>1</v>
      </c>
      <c r="B131" s="110"/>
      <c r="C131" s="140" t="s">
        <v>300</v>
      </c>
      <c r="D131" s="140" t="s">
        <v>2493</v>
      </c>
      <c r="E131" s="141" t="s">
        <v>2494</v>
      </c>
      <c r="F131" s="142" t="str">
        <f t="shared" ref="F131:F137" si="60">DATEDIF(R131,S131,"y") + DATEDIF(V131,W131,"y") + DATEDIF(X131,Y131,"y") + SUM(AH131) &amp; " años " &amp; DATEDIF(R131,S131,"ym") + DATEDIF(V131,W131,"ym") + DATEDIF(X131,Y131,"ym") + SUM(AI131) - SUM(AM131) &amp; " meses " &amp; DATEDIF(R131,S131,"md") + DATEDIF(V131,W131,"md") + DATEDIF(X131,Y131,"md") - SUM(AN131) &amp; " días"</f>
        <v>28 años 10 meses 4 días</v>
      </c>
      <c r="G131" s="143">
        <v>0.82499999999999996</v>
      </c>
      <c r="H131" s="110" t="str">
        <f t="shared" ref="H131:H137" si="61">DATEDIF(T131,S131,"y") &amp; " años " &amp; DATEDIF(T131,S131,"ym") &amp; " meses " &amp; DATEDIF(T131,S131,"md") &amp; " días"</f>
        <v>55 años 1 meses 22 días</v>
      </c>
      <c r="I131" s="110"/>
      <c r="J131" s="195"/>
      <c r="K131" s="196"/>
      <c r="L131" s="197"/>
      <c r="M131" s="144">
        <v>9000</v>
      </c>
      <c r="N131" s="115">
        <v>10000</v>
      </c>
      <c r="O131" s="134"/>
      <c r="P131" s="134" t="s">
        <v>2480</v>
      </c>
      <c r="Q131" s="115" t="s">
        <v>336</v>
      </c>
      <c r="R131" s="145">
        <v>34878</v>
      </c>
      <c r="S131" s="146">
        <v>45414</v>
      </c>
      <c r="T131" s="145">
        <v>25272</v>
      </c>
      <c r="U131" s="145"/>
      <c r="V131" s="116"/>
      <c r="W131" s="116"/>
      <c r="X131" s="116"/>
      <c r="Y131" s="116"/>
      <c r="Z131" s="52"/>
      <c r="AA131" s="52"/>
      <c r="AB131" s="52"/>
      <c r="AC131" s="117"/>
      <c r="AD131" s="118" t="s">
        <v>190</v>
      </c>
      <c r="AE131" s="164" t="s">
        <v>36</v>
      </c>
      <c r="AF131" s="165" t="s">
        <v>37</v>
      </c>
      <c r="AH131" s="118"/>
      <c r="AI131" s="118"/>
      <c r="AJ131" s="118"/>
      <c r="AL131" s="118"/>
      <c r="AM131" s="118"/>
      <c r="AN131" s="118"/>
    </row>
    <row r="132" spans="1:40" s="93" customFormat="1" ht="39.950000000000003" customHeight="1" x14ac:dyDescent="0.25">
      <c r="A132" s="110">
        <v>2</v>
      </c>
      <c r="B132" s="110"/>
      <c r="C132" s="140" t="s">
        <v>300</v>
      </c>
      <c r="D132" s="140" t="s">
        <v>2495</v>
      </c>
      <c r="E132" s="141" t="s">
        <v>2496</v>
      </c>
      <c r="F132" s="142" t="str">
        <f t="shared" si="60"/>
        <v>20 años 10 meses 6 días</v>
      </c>
      <c r="G132" s="143">
        <v>0.625</v>
      </c>
      <c r="H132" s="110" t="str">
        <f t="shared" si="61"/>
        <v>49 años 1 meses 5 días</v>
      </c>
      <c r="I132" s="110"/>
      <c r="J132" s="195"/>
      <c r="K132" s="196"/>
      <c r="L132" s="197"/>
      <c r="M132" s="144">
        <v>11999.6</v>
      </c>
      <c r="N132" s="115">
        <v>10000</v>
      </c>
      <c r="O132" s="134"/>
      <c r="P132" s="134" t="s">
        <v>2480</v>
      </c>
      <c r="Q132" s="115" t="s">
        <v>336</v>
      </c>
      <c r="R132" s="145">
        <v>37798</v>
      </c>
      <c r="S132" s="146">
        <v>45414</v>
      </c>
      <c r="T132" s="145">
        <v>27480</v>
      </c>
      <c r="U132" s="145"/>
      <c r="V132" s="116"/>
      <c r="W132" s="116"/>
      <c r="X132" s="116"/>
      <c r="Y132" s="116"/>
      <c r="Z132" s="52"/>
      <c r="AA132" s="52"/>
      <c r="AB132" s="52"/>
      <c r="AC132" s="117"/>
      <c r="AD132" s="118" t="s">
        <v>134</v>
      </c>
      <c r="AE132" s="164" t="s">
        <v>36</v>
      </c>
      <c r="AF132" s="165" t="s">
        <v>37</v>
      </c>
      <c r="AH132" s="118"/>
      <c r="AI132" s="118"/>
      <c r="AJ132" s="118"/>
      <c r="AL132" s="118"/>
      <c r="AM132" s="118"/>
      <c r="AN132" s="118"/>
    </row>
    <row r="133" spans="1:40" s="93" customFormat="1" ht="39.950000000000003" customHeight="1" x14ac:dyDescent="0.25">
      <c r="A133" s="110">
        <v>3</v>
      </c>
      <c r="B133" s="110"/>
      <c r="C133" s="140" t="s">
        <v>300</v>
      </c>
      <c r="D133" s="140" t="s">
        <v>2497</v>
      </c>
      <c r="E133" s="141" t="s">
        <v>2498</v>
      </c>
      <c r="F133" s="142" t="str">
        <f t="shared" si="60"/>
        <v>25 años 9 meses 8 días</v>
      </c>
      <c r="G133" s="143">
        <v>0.75</v>
      </c>
      <c r="H133" s="110" t="str">
        <f t="shared" si="61"/>
        <v>50 años 8 meses 17 días</v>
      </c>
      <c r="I133" s="110"/>
      <c r="J133" s="195"/>
      <c r="K133" s="196"/>
      <c r="L133" s="197"/>
      <c r="M133" s="144">
        <v>10000</v>
      </c>
      <c r="N133" s="115">
        <v>10000</v>
      </c>
      <c r="O133" s="134"/>
      <c r="P133" s="134" t="s">
        <v>2480</v>
      </c>
      <c r="Q133" s="115" t="s">
        <v>336</v>
      </c>
      <c r="R133" s="145">
        <v>36000</v>
      </c>
      <c r="S133" s="146">
        <v>45414</v>
      </c>
      <c r="T133" s="145">
        <v>26891</v>
      </c>
      <c r="U133" s="145"/>
      <c r="V133" s="116"/>
      <c r="W133" s="116"/>
      <c r="X133" s="116"/>
      <c r="Y133" s="116"/>
      <c r="Z133" s="52"/>
      <c r="AA133" s="52"/>
      <c r="AB133" s="52"/>
      <c r="AC133" s="117"/>
      <c r="AD133" s="118" t="s">
        <v>1032</v>
      </c>
      <c r="AE133" s="164" t="s">
        <v>36</v>
      </c>
      <c r="AF133" s="165" t="s">
        <v>37</v>
      </c>
      <c r="AH133" s="118"/>
      <c r="AI133" s="118"/>
      <c r="AJ133" s="118"/>
      <c r="AL133" s="118"/>
      <c r="AM133" s="118"/>
      <c r="AN133" s="118"/>
    </row>
    <row r="134" spans="1:40" s="93" customFormat="1" ht="39.950000000000003" customHeight="1" x14ac:dyDescent="0.25">
      <c r="A134" s="110">
        <v>4</v>
      </c>
      <c r="B134" s="110"/>
      <c r="C134" s="148" t="s">
        <v>300</v>
      </c>
      <c r="D134" s="152" t="s">
        <v>2499</v>
      </c>
      <c r="E134" s="153" t="s">
        <v>2500</v>
      </c>
      <c r="F134" s="142" t="str">
        <f t="shared" si="60"/>
        <v>29 años 9 meses 13 días</v>
      </c>
      <c r="G134" s="149">
        <v>1</v>
      </c>
      <c r="H134" s="110" t="str">
        <f t="shared" si="61"/>
        <v>57 años 2 meses 19 días</v>
      </c>
      <c r="I134" s="110"/>
      <c r="J134" s="195"/>
      <c r="K134" s="196"/>
      <c r="L134" s="197"/>
      <c r="M134" s="115">
        <v>12183.52</v>
      </c>
      <c r="N134" s="115">
        <f>M134*G134</f>
        <v>12183.52</v>
      </c>
      <c r="O134" s="134" t="s">
        <v>2311</v>
      </c>
      <c r="P134" s="134" t="s">
        <v>33</v>
      </c>
      <c r="Q134" s="115" t="s">
        <v>337</v>
      </c>
      <c r="R134" s="154">
        <v>34534</v>
      </c>
      <c r="S134" s="154">
        <v>45414</v>
      </c>
      <c r="T134" s="155">
        <v>24516</v>
      </c>
      <c r="U134" s="155"/>
      <c r="V134" s="116"/>
      <c r="W134" s="116"/>
      <c r="X134" s="116"/>
      <c r="Y134" s="116"/>
      <c r="Z134"/>
      <c r="AA134"/>
      <c r="AB134"/>
      <c r="AC134" s="117"/>
      <c r="AD134" s="118" t="s">
        <v>293</v>
      </c>
      <c r="AE134" s="164" t="s">
        <v>36</v>
      </c>
      <c r="AF134" s="165" t="s">
        <v>37</v>
      </c>
      <c r="AH134" s="118"/>
      <c r="AI134" s="118"/>
      <c r="AJ134" s="118"/>
      <c r="AL134" s="118"/>
      <c r="AM134" s="118"/>
      <c r="AN134" s="118"/>
    </row>
    <row r="135" spans="1:40" s="93" customFormat="1" ht="39.950000000000003" customHeight="1" x14ac:dyDescent="0.25">
      <c r="A135" s="110">
        <v>5</v>
      </c>
      <c r="B135" s="110"/>
      <c r="C135" s="148" t="s">
        <v>300</v>
      </c>
      <c r="D135" s="152" t="s">
        <v>2501</v>
      </c>
      <c r="E135" s="153" t="s">
        <v>2502</v>
      </c>
      <c r="F135" s="142" t="str">
        <f t="shared" si="60"/>
        <v>18 años 11 meses 23 días</v>
      </c>
      <c r="G135" s="143">
        <v>1</v>
      </c>
      <c r="H135" s="110" t="str">
        <f t="shared" si="61"/>
        <v>60 años 1 meses 25 días</v>
      </c>
      <c r="I135" s="110"/>
      <c r="J135" s="195"/>
      <c r="K135" s="196"/>
      <c r="L135" s="197"/>
      <c r="M135" s="115">
        <v>6546.14</v>
      </c>
      <c r="N135" s="115">
        <v>10000</v>
      </c>
      <c r="O135" s="134" t="s">
        <v>2311</v>
      </c>
      <c r="P135" s="134" t="s">
        <v>33</v>
      </c>
      <c r="Q135" s="115" t="s">
        <v>337</v>
      </c>
      <c r="R135" s="154">
        <v>38481</v>
      </c>
      <c r="S135" s="154">
        <v>45414</v>
      </c>
      <c r="T135" s="155">
        <v>23443</v>
      </c>
      <c r="U135" s="155"/>
      <c r="V135" s="116"/>
      <c r="W135" s="116"/>
      <c r="X135" s="116"/>
      <c r="Y135" s="116"/>
      <c r="Z135"/>
      <c r="AA135"/>
      <c r="AB135"/>
      <c r="AC135" s="117"/>
      <c r="AD135" s="118" t="s">
        <v>268</v>
      </c>
      <c r="AE135" s="164" t="s">
        <v>36</v>
      </c>
      <c r="AF135" s="165" t="s">
        <v>37</v>
      </c>
      <c r="AH135" s="118"/>
      <c r="AI135" s="118"/>
      <c r="AJ135" s="118"/>
      <c r="AL135" s="118"/>
      <c r="AM135" s="118"/>
      <c r="AN135" s="118"/>
    </row>
    <row r="136" spans="1:40" s="93" customFormat="1" ht="39.950000000000003" customHeight="1" x14ac:dyDescent="0.25">
      <c r="A136" s="110">
        <v>6</v>
      </c>
      <c r="B136" s="110"/>
      <c r="C136" s="148" t="s">
        <v>300</v>
      </c>
      <c r="D136" s="152" t="s">
        <v>2503</v>
      </c>
      <c r="E136" s="153" t="s">
        <v>2504</v>
      </c>
      <c r="F136" s="142" t="str">
        <f t="shared" si="60"/>
        <v>24 años 7 meses 18 días</v>
      </c>
      <c r="G136" s="143">
        <v>1</v>
      </c>
      <c r="H136" s="110" t="str">
        <f t="shared" si="61"/>
        <v>66 años 7 meses 21 días</v>
      </c>
      <c r="I136" s="110"/>
      <c r="J136" s="195"/>
      <c r="K136" s="196"/>
      <c r="L136" s="197"/>
      <c r="M136" s="115">
        <v>12120</v>
      </c>
      <c r="N136" s="115">
        <v>12120</v>
      </c>
      <c r="O136" s="134" t="s">
        <v>2311</v>
      </c>
      <c r="P136" s="134" t="s">
        <v>33</v>
      </c>
      <c r="Q136" s="115" t="s">
        <v>337</v>
      </c>
      <c r="R136" s="154">
        <v>36417</v>
      </c>
      <c r="S136" s="154">
        <v>45414</v>
      </c>
      <c r="T136" s="155">
        <v>21074</v>
      </c>
      <c r="U136" s="155"/>
      <c r="V136" s="116"/>
      <c r="W136" s="116"/>
      <c r="X136" s="116"/>
      <c r="Y136" s="116"/>
      <c r="Z136"/>
      <c r="AA136"/>
      <c r="AB136"/>
      <c r="AC136" s="117"/>
      <c r="AD136" s="118" t="s">
        <v>268</v>
      </c>
      <c r="AE136" s="164" t="s">
        <v>36</v>
      </c>
      <c r="AF136" s="165" t="s">
        <v>37</v>
      </c>
      <c r="AH136" s="118"/>
      <c r="AI136" s="118"/>
      <c r="AJ136" s="118"/>
      <c r="AL136" s="118"/>
      <c r="AM136" s="118"/>
      <c r="AN136" s="118"/>
    </row>
    <row r="137" spans="1:40" s="93" customFormat="1" ht="39.950000000000003" customHeight="1" x14ac:dyDescent="0.25">
      <c r="A137" s="110">
        <v>7</v>
      </c>
      <c r="B137" s="110"/>
      <c r="C137" s="140" t="s">
        <v>230</v>
      </c>
      <c r="D137" s="140" t="s">
        <v>2505</v>
      </c>
      <c r="E137" s="150" t="s">
        <v>2506</v>
      </c>
      <c r="F137" s="142" t="str">
        <f t="shared" si="60"/>
        <v>22 años 2 meses 29 días</v>
      </c>
      <c r="G137" s="149">
        <v>0.65</v>
      </c>
      <c r="H137" s="110" t="str">
        <f t="shared" si="61"/>
        <v>42 años 9 meses 24 días</v>
      </c>
      <c r="I137" s="110"/>
      <c r="J137" s="195"/>
      <c r="K137" s="196"/>
      <c r="L137" s="197"/>
      <c r="M137" s="151">
        <v>8490.4500000000007</v>
      </c>
      <c r="N137" s="115">
        <v>10000</v>
      </c>
      <c r="O137" s="134" t="s">
        <v>2507</v>
      </c>
      <c r="P137" s="134" t="s">
        <v>33</v>
      </c>
      <c r="Q137" s="115" t="s">
        <v>338</v>
      </c>
      <c r="R137" s="146">
        <v>39230</v>
      </c>
      <c r="S137" s="146">
        <v>45282</v>
      </c>
      <c r="T137" s="146">
        <v>29645</v>
      </c>
      <c r="U137" s="146"/>
      <c r="V137" s="116">
        <v>36178</v>
      </c>
      <c r="W137" s="116">
        <v>38253</v>
      </c>
      <c r="X137" s="116"/>
      <c r="Y137" s="116"/>
      <c r="Z137" s="52"/>
      <c r="AA137" s="52"/>
      <c r="AB137" s="52"/>
      <c r="AC137" s="117"/>
      <c r="AD137" s="118" t="s">
        <v>35</v>
      </c>
      <c r="AE137" s="164" t="s">
        <v>36</v>
      </c>
      <c r="AF137" s="165" t="s">
        <v>37</v>
      </c>
      <c r="AH137" s="118">
        <v>1</v>
      </c>
      <c r="AI137" s="118"/>
      <c r="AJ137" s="118"/>
      <c r="AL137" s="118"/>
      <c r="AM137" s="118">
        <v>12</v>
      </c>
      <c r="AN137" s="118"/>
    </row>
    <row r="138" spans="1:40" hidden="1" x14ac:dyDescent="0.25"/>
    <row r="139" spans="1:40" s="91" customFormat="1" hidden="1" x14ac:dyDescent="0.25">
      <c r="A139" s="191" t="s">
        <v>1956</v>
      </c>
      <c r="B139" s="191"/>
      <c r="C139" s="191"/>
      <c r="D139" s="191"/>
      <c r="E139" s="191"/>
      <c r="F139" s="191"/>
      <c r="G139" s="191"/>
      <c r="H139" s="191"/>
      <c r="I139" s="191"/>
      <c r="J139" s="191"/>
      <c r="K139" s="191"/>
      <c r="L139" s="191"/>
      <c r="M139" s="191"/>
      <c r="N139" s="191"/>
      <c r="O139" s="191"/>
      <c r="P139" s="191"/>
      <c r="Q139" s="191"/>
      <c r="R139" s="191"/>
      <c r="S139" s="90"/>
      <c r="T139" s="90"/>
      <c r="Z139" s="52"/>
      <c r="AA139" s="52"/>
      <c r="AB139" s="52"/>
      <c r="AD139" s="92"/>
      <c r="AG139" s="93"/>
      <c r="AH139" s="181" t="s">
        <v>2</v>
      </c>
      <c r="AI139" s="181"/>
      <c r="AJ139" s="181"/>
      <c r="AL139" s="181" t="s">
        <v>3</v>
      </c>
      <c r="AM139" s="181"/>
      <c r="AN139" s="181"/>
    </row>
    <row r="140" spans="1:40" s="104" customFormat="1" ht="30" hidden="1" customHeight="1" x14ac:dyDescent="0.25">
      <c r="A140" s="94" t="s">
        <v>4</v>
      </c>
      <c r="B140" s="94" t="s">
        <v>5</v>
      </c>
      <c r="C140" s="95" t="s">
        <v>6</v>
      </c>
      <c r="D140" s="95" t="s">
        <v>7</v>
      </c>
      <c r="E140" s="94" t="s">
        <v>8</v>
      </c>
      <c r="F140" s="96" t="s">
        <v>9</v>
      </c>
      <c r="G140" s="96" t="s">
        <v>10</v>
      </c>
      <c r="H140" s="95" t="s">
        <v>11</v>
      </c>
      <c r="I140" s="97" t="s">
        <v>12</v>
      </c>
      <c r="J140" s="182" t="s">
        <v>13</v>
      </c>
      <c r="K140" s="183"/>
      <c r="L140" s="98" t="s">
        <v>14</v>
      </c>
      <c r="M140" s="99" t="s">
        <v>15</v>
      </c>
      <c r="N140" s="99" t="s">
        <v>16</v>
      </c>
      <c r="O140" s="99" t="s">
        <v>17</v>
      </c>
      <c r="P140" s="99" t="s">
        <v>18</v>
      </c>
      <c r="Q140" s="99" t="s">
        <v>335</v>
      </c>
      <c r="R140" s="99" t="s">
        <v>1950</v>
      </c>
      <c r="S140" s="100" t="s">
        <v>19</v>
      </c>
      <c r="T140" s="100" t="s">
        <v>20</v>
      </c>
      <c r="U140" s="101" t="s">
        <v>21</v>
      </c>
      <c r="V140" s="95" t="s">
        <v>13</v>
      </c>
      <c r="W140" s="100" t="s">
        <v>19</v>
      </c>
      <c r="X140" s="100" t="s">
        <v>20</v>
      </c>
      <c r="Y140" s="100" t="s">
        <v>19</v>
      </c>
      <c r="Z140" s="100" t="s">
        <v>20</v>
      </c>
      <c r="AA140" s="52"/>
      <c r="AB140" s="52"/>
      <c r="AC140" s="102"/>
      <c r="AD140" s="100" t="s">
        <v>22</v>
      </c>
      <c r="AE140" s="100" t="s">
        <v>23</v>
      </c>
      <c r="AF140" s="100" t="s">
        <v>24</v>
      </c>
      <c r="AG140" s="93"/>
      <c r="AH140" s="103" t="s">
        <v>25</v>
      </c>
      <c r="AI140" s="103" t="s">
        <v>26</v>
      </c>
      <c r="AJ140" s="103" t="s">
        <v>27</v>
      </c>
      <c r="AK140" s="93"/>
      <c r="AL140" s="103" t="s">
        <v>25</v>
      </c>
      <c r="AM140" s="103" t="s">
        <v>26</v>
      </c>
      <c r="AN140" s="103" t="s">
        <v>28</v>
      </c>
    </row>
    <row r="141" spans="1:40" s="93" customFormat="1" ht="8.25" hidden="1" customHeight="1" x14ac:dyDescent="0.25">
      <c r="A141" s="110"/>
      <c r="B141" s="110"/>
      <c r="C141" s="131"/>
      <c r="D141" s="131"/>
      <c r="E141" s="132"/>
      <c r="F141" s="110"/>
      <c r="G141" s="133"/>
      <c r="H141" s="110"/>
      <c r="I141" s="110"/>
      <c r="J141" s="190"/>
      <c r="K141" s="190"/>
      <c r="L141" s="110"/>
      <c r="M141" s="115"/>
      <c r="N141" s="115"/>
      <c r="O141" s="134"/>
      <c r="P141" s="115"/>
      <c r="Q141" s="115"/>
      <c r="R141" s="115"/>
      <c r="S141" s="116"/>
      <c r="T141" s="116"/>
      <c r="U141" s="116"/>
      <c r="V141" s="116"/>
      <c r="W141" s="116"/>
      <c r="X141" s="116"/>
      <c r="Y141" s="116"/>
      <c r="Z141" s="116"/>
      <c r="AA141" s="52"/>
      <c r="AB141" s="52"/>
      <c r="AC141" s="117"/>
      <c r="AD141" s="118"/>
      <c r="AE141" s="119"/>
      <c r="AF141" s="135"/>
      <c r="AH141" s="118"/>
      <c r="AI141" s="118"/>
      <c r="AJ141" s="118"/>
      <c r="AL141" s="118"/>
      <c r="AM141" s="118"/>
      <c r="AN141" s="118"/>
    </row>
    <row r="142" spans="1:40" s="5" customFormat="1" ht="12.75" x14ac:dyDescent="0.2">
      <c r="A142" s="33"/>
      <c r="B142" s="34"/>
      <c r="C142" s="35"/>
      <c r="D142" s="36"/>
      <c r="E142" s="36"/>
      <c r="F142" s="37"/>
      <c r="G142" s="38"/>
      <c r="H142" s="38"/>
      <c r="I142" s="39"/>
      <c r="J142" s="40"/>
      <c r="K142" s="4"/>
      <c r="L142" s="4"/>
      <c r="M142" s="4"/>
      <c r="N142" s="4"/>
    </row>
    <row r="143" spans="1:40" s="5" customFormat="1" ht="12.75" x14ac:dyDescent="0.2">
      <c r="A143" s="33"/>
      <c r="B143" s="34"/>
      <c r="C143" s="35"/>
      <c r="D143" s="36"/>
      <c r="E143" s="36"/>
      <c r="F143" s="37"/>
      <c r="G143" s="38"/>
      <c r="H143" s="38"/>
      <c r="I143" s="39"/>
      <c r="J143" s="40"/>
      <c r="K143" s="4"/>
      <c r="L143" s="4"/>
      <c r="M143" s="4"/>
      <c r="N143" s="4"/>
      <c r="V143" s="1"/>
    </row>
    <row r="144" spans="1:40" s="5" customFormat="1" ht="12.75" x14ac:dyDescent="0.2">
      <c r="A144" s="33"/>
      <c r="B144" s="34"/>
      <c r="C144" s="35"/>
      <c r="D144" s="36"/>
      <c r="E144" s="36"/>
      <c r="F144" s="37"/>
      <c r="G144" s="38"/>
      <c r="H144" s="38"/>
      <c r="I144" s="39"/>
      <c r="J144" s="40"/>
      <c r="K144" s="4"/>
      <c r="L144" s="4"/>
      <c r="M144" s="4"/>
      <c r="N144" s="4"/>
      <c r="W144" s="41"/>
    </row>
    <row r="145" spans="1:17" s="5" customFormat="1" ht="12.75" x14ac:dyDescent="0.2">
      <c r="A145" s="33"/>
      <c r="B145" s="34"/>
      <c r="C145" s="35"/>
      <c r="D145" s="36"/>
      <c r="E145" s="36"/>
      <c r="F145" s="37"/>
      <c r="G145" s="38"/>
      <c r="H145" s="38"/>
      <c r="I145" s="39"/>
      <c r="J145" s="40"/>
      <c r="K145" s="4"/>
      <c r="L145" s="4"/>
      <c r="M145" s="4"/>
      <c r="N145" s="4"/>
    </row>
    <row r="146" spans="1:17" s="5" customFormat="1" ht="12.75" x14ac:dyDescent="0.2">
      <c r="A146" s="33"/>
      <c r="B146" s="34"/>
      <c r="C146" s="35"/>
      <c r="D146" s="36"/>
      <c r="E146" s="36"/>
      <c r="F146" s="37"/>
      <c r="G146" s="38"/>
      <c r="H146" s="38"/>
      <c r="I146" s="39"/>
      <c r="J146" s="40"/>
      <c r="K146" s="4"/>
      <c r="L146" s="4"/>
      <c r="M146" s="4"/>
      <c r="N146" s="4"/>
    </row>
    <row r="147" spans="1:17" s="5" customFormat="1" ht="12.75" x14ac:dyDescent="0.2">
      <c r="A147" s="174" t="s">
        <v>330</v>
      </c>
      <c r="B147" s="174"/>
      <c r="C147" s="174"/>
      <c r="D147" s="174"/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</row>
    <row r="148" spans="1:17" s="5" customFormat="1" ht="12.75" x14ac:dyDescent="0.2">
      <c r="A148" s="175" t="s">
        <v>331</v>
      </c>
      <c r="B148" s="175"/>
      <c r="C148" s="175"/>
      <c r="D148" s="175"/>
      <c r="E148" s="175"/>
      <c r="F148" s="175"/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</row>
    <row r="149" spans="1:17" s="5" customFormat="1" ht="12.75" x14ac:dyDescent="0.2">
      <c r="A149" s="175" t="s">
        <v>332</v>
      </c>
      <c r="B149" s="175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</row>
    <row r="150" spans="1:17" s="5" customFormat="1" ht="12.75" x14ac:dyDescent="0.2">
      <c r="A150" s="42"/>
      <c r="B150" s="42"/>
      <c r="C150" s="42"/>
      <c r="D150" s="42"/>
      <c r="E150" s="42"/>
      <c r="F150" s="42"/>
      <c r="G150" s="43"/>
      <c r="H150" s="43"/>
      <c r="I150" s="44"/>
    </row>
    <row r="151" spans="1:17" ht="12.75" customHeight="1" x14ac:dyDescent="0.25">
      <c r="A151" s="45" t="s">
        <v>333</v>
      </c>
      <c r="B151" s="46"/>
      <c r="C151" s="46"/>
      <c r="D151" s="47"/>
      <c r="E151" s="48"/>
      <c r="F151" s="49"/>
      <c r="G151" s="50"/>
      <c r="H151" s="50"/>
      <c r="I151" s="51"/>
    </row>
    <row r="152" spans="1:17" ht="9.75" customHeight="1" x14ac:dyDescent="0.25">
      <c r="A152" s="53" t="s">
        <v>334</v>
      </c>
      <c r="B152" s="46"/>
      <c r="C152" s="46"/>
      <c r="D152" s="47"/>
      <c r="E152" s="48"/>
      <c r="F152" s="49"/>
      <c r="G152" s="50"/>
      <c r="H152" s="50"/>
      <c r="I152" s="51"/>
    </row>
    <row r="153" spans="1:17" ht="90" customHeight="1" x14ac:dyDescent="0.25"/>
    <row r="154" spans="1:17" ht="90" customHeight="1" x14ac:dyDescent="0.25"/>
    <row r="158" spans="1:17" ht="90" customHeight="1" x14ac:dyDescent="0.25"/>
    <row r="159" spans="1:17" ht="90" customHeight="1" x14ac:dyDescent="0.25"/>
    <row r="160" spans="1:17" ht="90" customHeight="1" x14ac:dyDescent="0.25"/>
    <row r="161" ht="90" customHeight="1" x14ac:dyDescent="0.25"/>
    <row r="162" ht="90" customHeight="1" x14ac:dyDescent="0.25"/>
    <row r="164" ht="90" customHeight="1" x14ac:dyDescent="0.25"/>
    <row r="165" ht="90" customHeight="1" x14ac:dyDescent="0.25"/>
    <row r="166" ht="90" customHeight="1" x14ac:dyDescent="0.25"/>
    <row r="167" ht="90" customHeight="1" x14ac:dyDescent="0.25"/>
    <row r="169" ht="90" customHeight="1" x14ac:dyDescent="0.25"/>
    <row r="170" ht="90" customHeight="1" x14ac:dyDescent="0.25"/>
    <row r="172" ht="146.25" customHeight="1" x14ac:dyDescent="0.25"/>
    <row r="173" ht="165" customHeight="1" x14ac:dyDescent="0.25"/>
    <row r="174" ht="90" customHeight="1" x14ac:dyDescent="0.25"/>
    <row r="175" ht="90" customHeight="1" x14ac:dyDescent="0.25"/>
    <row r="176" ht="90" customHeight="1" x14ac:dyDescent="0.25"/>
    <row r="178" ht="90" customHeight="1" x14ac:dyDescent="0.25"/>
    <row r="179" ht="90" customHeight="1" x14ac:dyDescent="0.25"/>
    <row r="181" ht="90" customHeight="1" x14ac:dyDescent="0.25"/>
  </sheetData>
  <mergeCells count="142">
    <mergeCell ref="A17:Q17"/>
    <mergeCell ref="AH17:AJ17"/>
    <mergeCell ref="AL17:AN17"/>
    <mergeCell ref="J18:K18"/>
    <mergeCell ref="J24:L24"/>
    <mergeCell ref="J25:L25"/>
    <mergeCell ref="J26:L26"/>
    <mergeCell ref="J27:L27"/>
    <mergeCell ref="A9:Q9"/>
    <mergeCell ref="A10:Q10"/>
    <mergeCell ref="A11:Q11"/>
    <mergeCell ref="A12:Q12"/>
    <mergeCell ref="A13:Q13"/>
    <mergeCell ref="A15:Q15"/>
    <mergeCell ref="J76:L76"/>
    <mergeCell ref="J77:L77"/>
    <mergeCell ref="J78:L78"/>
    <mergeCell ref="J79:L79"/>
    <mergeCell ref="J80:L80"/>
    <mergeCell ref="J81:L81"/>
    <mergeCell ref="J73:L73"/>
    <mergeCell ref="J74:L74"/>
    <mergeCell ref="J75:L75"/>
    <mergeCell ref="J89:L89"/>
    <mergeCell ref="J90:L90"/>
    <mergeCell ref="J91:L91"/>
    <mergeCell ref="J92:L92"/>
    <mergeCell ref="J93:L93"/>
    <mergeCell ref="J82:L82"/>
    <mergeCell ref="J83:L83"/>
    <mergeCell ref="J84:L84"/>
    <mergeCell ref="J85:L85"/>
    <mergeCell ref="J86:L86"/>
    <mergeCell ref="J87:L87"/>
    <mergeCell ref="AH71:AJ71"/>
    <mergeCell ref="AL71:AN71"/>
    <mergeCell ref="J72:K72"/>
    <mergeCell ref="A66:N66"/>
    <mergeCell ref="AH66:AJ66"/>
    <mergeCell ref="AL66:AN66"/>
    <mergeCell ref="J67:K67"/>
    <mergeCell ref="J68:K68"/>
    <mergeCell ref="A69:G69"/>
    <mergeCell ref="I69:L69"/>
    <mergeCell ref="AH100:AJ100"/>
    <mergeCell ref="AL100:AN100"/>
    <mergeCell ref="J101:K101"/>
    <mergeCell ref="J123:L123"/>
    <mergeCell ref="J124:L124"/>
    <mergeCell ref="J125:L125"/>
    <mergeCell ref="J126:L126"/>
    <mergeCell ref="J127:L127"/>
    <mergeCell ref="J117:L117"/>
    <mergeCell ref="J118:L118"/>
    <mergeCell ref="J119:L119"/>
    <mergeCell ref="J120:L120"/>
    <mergeCell ref="J121:L121"/>
    <mergeCell ref="J122:L122"/>
    <mergeCell ref="J111:L111"/>
    <mergeCell ref="J112:L112"/>
    <mergeCell ref="J113:L113"/>
    <mergeCell ref="J114:L114"/>
    <mergeCell ref="J115:L115"/>
    <mergeCell ref="J116:L116"/>
    <mergeCell ref="J105:L105"/>
    <mergeCell ref="J106:L106"/>
    <mergeCell ref="J107:L107"/>
    <mergeCell ref="J108:L108"/>
    <mergeCell ref="AH139:AJ139"/>
    <mergeCell ref="AL139:AN139"/>
    <mergeCell ref="A129:Q129"/>
    <mergeCell ref="AH129:AJ129"/>
    <mergeCell ref="AL129:AN129"/>
    <mergeCell ref="J130:K130"/>
    <mergeCell ref="J132:L132"/>
    <mergeCell ref="J133:L133"/>
    <mergeCell ref="J134:L134"/>
    <mergeCell ref="J135:L135"/>
    <mergeCell ref="J136:L136"/>
    <mergeCell ref="J137:L137"/>
    <mergeCell ref="J131:L131"/>
    <mergeCell ref="J140:K140"/>
    <mergeCell ref="J141:K141"/>
    <mergeCell ref="A147:Q147"/>
    <mergeCell ref="A148:Q148"/>
    <mergeCell ref="A149:Q149"/>
    <mergeCell ref="J19:L19"/>
    <mergeCell ref="J20:L20"/>
    <mergeCell ref="J21:L21"/>
    <mergeCell ref="J22:L22"/>
    <mergeCell ref="J23:L23"/>
    <mergeCell ref="A139:R139"/>
    <mergeCell ref="A100:Q100"/>
    <mergeCell ref="J109:L109"/>
    <mergeCell ref="J110:L110"/>
    <mergeCell ref="J102:L102"/>
    <mergeCell ref="J103:L103"/>
    <mergeCell ref="J104:L104"/>
    <mergeCell ref="A71:Q71"/>
    <mergeCell ref="J94:L94"/>
    <mergeCell ref="J95:L95"/>
    <mergeCell ref="J96:L96"/>
    <mergeCell ref="J97:L97"/>
    <mergeCell ref="J98:L98"/>
    <mergeCell ref="J88:L88"/>
    <mergeCell ref="J34:L34"/>
    <mergeCell ref="J35:L35"/>
    <mergeCell ref="J36:L36"/>
    <mergeCell ref="J37:L37"/>
    <mergeCell ref="J38:L38"/>
    <mergeCell ref="J39:L39"/>
    <mergeCell ref="J28:L28"/>
    <mergeCell ref="J29:L29"/>
    <mergeCell ref="J30:L30"/>
    <mergeCell ref="J31:L31"/>
    <mergeCell ref="J32:L32"/>
    <mergeCell ref="J33:L33"/>
    <mergeCell ref="J46:L46"/>
    <mergeCell ref="J47:L47"/>
    <mergeCell ref="J48:L48"/>
    <mergeCell ref="J49:L49"/>
    <mergeCell ref="J50:L50"/>
    <mergeCell ref="J51:L51"/>
    <mergeCell ref="J40:L40"/>
    <mergeCell ref="J41:L41"/>
    <mergeCell ref="J42:L42"/>
    <mergeCell ref="J43:L43"/>
    <mergeCell ref="J44:L44"/>
    <mergeCell ref="J45:L45"/>
    <mergeCell ref="J64:L64"/>
    <mergeCell ref="J58:L58"/>
    <mergeCell ref="J59:L59"/>
    <mergeCell ref="J60:L60"/>
    <mergeCell ref="J61:L61"/>
    <mergeCell ref="J62:L62"/>
    <mergeCell ref="J63:L63"/>
    <mergeCell ref="J52:L52"/>
    <mergeCell ref="J53:L53"/>
    <mergeCell ref="J54:L54"/>
    <mergeCell ref="J55:L55"/>
    <mergeCell ref="J56:L56"/>
    <mergeCell ref="J57:L57"/>
  </mergeCells>
  <conditionalFormatting sqref="B119">
    <cfRule type="expression" dxfId="1" priority="44" stopIfTrue="1">
      <formula>AND(COUNTIF($D$189:$D$1166, B119)+COUNTIF($D$1189:$D$65715, B119)&gt;1,NOT(ISBLANK(B119)))</formula>
    </cfRule>
    <cfRule type="duplicateValues" dxfId="0" priority="46"/>
  </conditionalFormatting>
  <printOptions horizontalCentered="1"/>
  <pageMargins left="0.23622047244094491" right="0.23622047244094491" top="0.43307086614173229" bottom="0.43307086614173229" header="0.31496062992125984" footer="0.31496062992125984"/>
  <pageSetup scale="83" firstPageNumber="3" fitToHeight="0" orientation="portrait" r:id="rId1"/>
  <headerFooter>
    <oddFooter>&amp;L&amp;"Times New Roman,Normal"Relacion de pension mayo 2024&amp;R&amp;"Times New Roman,Normal"Página &amp;P de 06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F6D3C-911A-4746-9096-27BBD76E4184}">
  <dimension ref="A1:AO283"/>
  <sheetViews>
    <sheetView tabSelected="1" view="pageBreakPreview" topLeftCell="A191" zoomScale="65" zoomScaleNormal="90" zoomScaleSheetLayoutView="65" zoomScalePageLayoutView="60" workbookViewId="0">
      <selection activeCell="Q227" sqref="Q1:AP1048576"/>
    </sheetView>
  </sheetViews>
  <sheetFormatPr baseColWidth="10" defaultRowHeight="15" x14ac:dyDescent="0.25"/>
  <cols>
    <col min="1" max="1" width="7.140625" style="52" customWidth="1"/>
    <col min="2" max="2" width="1.7109375" style="52" hidden="1" customWidth="1"/>
    <col min="3" max="3" width="25.140625" style="52" customWidth="1"/>
    <col min="4" max="4" width="42.85546875" style="52" customWidth="1"/>
    <col min="5" max="5" width="14.85546875" style="52" hidden="1" customWidth="1"/>
    <col min="6" max="6" width="16.28515625" style="52" hidden="1" customWidth="1"/>
    <col min="7" max="7" width="7.7109375" style="52" hidden="1" customWidth="1"/>
    <col min="8" max="8" width="12.5703125" style="52" hidden="1" customWidth="1"/>
    <col min="9" max="9" width="14.28515625" style="52" hidden="1" customWidth="1"/>
    <col min="10" max="10" width="20.7109375" style="52" customWidth="1"/>
    <col min="11" max="11" width="16.28515625" style="52" hidden="1" customWidth="1"/>
    <col min="12" max="12" width="15.140625" style="52" hidden="1" customWidth="1"/>
    <col min="13" max="13" width="21" style="52" hidden="1" customWidth="1"/>
    <col min="14" max="14" width="25.5703125" style="52" hidden="1" customWidth="1"/>
    <col min="15" max="15" width="18.85546875" style="52" hidden="1" customWidth="1"/>
    <col min="16" max="16" width="23.85546875" style="52" hidden="1" customWidth="1"/>
    <col min="17" max="17" width="26.140625" style="52" customWidth="1"/>
    <col min="18" max="18" width="36.28515625" style="52" hidden="1" customWidth="1"/>
    <col min="19" max="20" width="11.42578125" style="52" hidden="1" customWidth="1"/>
    <col min="21" max="21" width="18.5703125" style="52" hidden="1" customWidth="1"/>
    <col min="22" max="22" width="21.42578125" style="52" hidden="1" customWidth="1"/>
    <col min="23" max="26" width="11.42578125" style="52" hidden="1" customWidth="1"/>
    <col min="27" max="27" width="5.28515625" style="52" hidden="1" customWidth="1"/>
    <col min="28" max="28" width="6.140625" style="52" hidden="1" customWidth="1"/>
    <col min="29" max="29" width="4.28515625" style="52" hidden="1" customWidth="1"/>
    <col min="30" max="41" width="11.42578125" style="52" hidden="1" customWidth="1"/>
    <col min="42" max="48" width="11.42578125" style="52" customWidth="1"/>
    <col min="49" max="49" width="11.42578125" style="52"/>
    <col min="50" max="50" width="13" style="52" bestFit="1" customWidth="1"/>
    <col min="51" max="16384" width="11.42578125" style="52"/>
  </cols>
  <sheetData>
    <row r="1" spans="1:17" s="1" customFormat="1" ht="12.75" x14ac:dyDescent="0.2"/>
    <row r="2" spans="1:17" s="1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s="1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7" s="1" customFormat="1" ht="12.75" x14ac:dyDescent="0.2"/>
    <row r="5" spans="1:17" s="1" customFormat="1" ht="12.75" x14ac:dyDescent="0.2"/>
    <row r="6" spans="1:17" s="1" customFormat="1" ht="12.75" x14ac:dyDescent="0.2"/>
    <row r="7" spans="1:17" s="1" customFormat="1" ht="12.75" x14ac:dyDescent="0.2"/>
    <row r="8" spans="1:17" s="1" customFormat="1" ht="12.75" x14ac:dyDescent="0.2"/>
    <row r="9" spans="1:17" s="74" customFormat="1" ht="15.75" x14ac:dyDescent="0.25">
      <c r="A9" s="178" t="s">
        <v>883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</row>
    <row r="10" spans="1:17" s="74" customFormat="1" ht="15.75" x14ac:dyDescent="0.25">
      <c r="A10" s="178" t="s">
        <v>884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</row>
    <row r="11" spans="1:17" s="74" customFormat="1" ht="15.75" x14ac:dyDescent="0.25">
      <c r="A11" s="178" t="s">
        <v>885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</row>
    <row r="12" spans="1:17" s="74" customFormat="1" ht="15.75" x14ac:dyDescent="0.25">
      <c r="A12" s="178" t="s">
        <v>886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</row>
    <row r="13" spans="1:17" s="74" customFormat="1" ht="15.75" x14ac:dyDescent="0.25">
      <c r="A13" s="178" t="s">
        <v>887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</row>
    <row r="14" spans="1:17" s="1" customFormat="1" ht="13.5" thickBot="1" x14ac:dyDescent="0.25"/>
    <row r="15" spans="1:17" s="5" customFormat="1" ht="68.25" customHeight="1" thickBot="1" x14ac:dyDescent="0.25">
      <c r="A15" s="169" t="s">
        <v>2510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1"/>
    </row>
    <row r="17" spans="1:40" s="91" customFormat="1" x14ac:dyDescent="0.25">
      <c r="A17" s="191" t="s">
        <v>1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38"/>
      <c r="S17" s="90"/>
      <c r="T17" s="90"/>
      <c r="Z17" s="52"/>
      <c r="AA17" s="52"/>
      <c r="AB17" s="52"/>
      <c r="AD17" s="92"/>
      <c r="AG17" s="93"/>
      <c r="AH17" s="181" t="s">
        <v>2</v>
      </c>
      <c r="AI17" s="181"/>
      <c r="AJ17" s="181"/>
      <c r="AL17" s="181" t="s">
        <v>3</v>
      </c>
      <c r="AM17" s="181"/>
      <c r="AN17" s="181"/>
    </row>
    <row r="18" spans="1:40" s="104" customFormat="1" ht="30" customHeight="1" x14ac:dyDescent="0.25">
      <c r="A18" s="94" t="s">
        <v>4</v>
      </c>
      <c r="B18" s="94" t="s">
        <v>5</v>
      </c>
      <c r="C18" s="95" t="s">
        <v>6</v>
      </c>
      <c r="D18" s="95" t="s">
        <v>7</v>
      </c>
      <c r="E18" s="94" t="s">
        <v>8</v>
      </c>
      <c r="F18" s="96" t="s">
        <v>9</v>
      </c>
      <c r="G18" s="96" t="s">
        <v>10</v>
      </c>
      <c r="H18" s="95" t="s">
        <v>11</v>
      </c>
      <c r="I18" s="97" t="s">
        <v>12</v>
      </c>
      <c r="J18" s="182" t="s">
        <v>13</v>
      </c>
      <c r="K18" s="183"/>
      <c r="L18" s="98" t="s">
        <v>14</v>
      </c>
      <c r="M18" s="99" t="s">
        <v>15</v>
      </c>
      <c r="N18" s="99" t="s">
        <v>17</v>
      </c>
      <c r="O18" s="99" t="s">
        <v>18</v>
      </c>
      <c r="P18" s="99" t="s">
        <v>18</v>
      </c>
      <c r="Q18" s="99" t="s">
        <v>335</v>
      </c>
      <c r="R18" s="99" t="s">
        <v>1950</v>
      </c>
      <c r="S18" s="100" t="s">
        <v>19</v>
      </c>
      <c r="T18" s="100" t="s">
        <v>20</v>
      </c>
      <c r="U18" s="101" t="s">
        <v>21</v>
      </c>
      <c r="V18" s="95" t="s">
        <v>13</v>
      </c>
      <c r="W18" s="100" t="s">
        <v>19</v>
      </c>
      <c r="X18" s="100" t="s">
        <v>20</v>
      </c>
      <c r="Y18" s="100" t="s">
        <v>19</v>
      </c>
      <c r="Z18" s="100" t="s">
        <v>20</v>
      </c>
      <c r="AA18" s="52"/>
      <c r="AB18" s="52"/>
      <c r="AC18" s="102"/>
      <c r="AD18" s="100" t="s">
        <v>22</v>
      </c>
      <c r="AE18" s="100" t="s">
        <v>23</v>
      </c>
      <c r="AF18" s="100" t="s">
        <v>24</v>
      </c>
      <c r="AG18" s="93"/>
      <c r="AH18" s="103" t="s">
        <v>25</v>
      </c>
      <c r="AI18" s="103" t="s">
        <v>26</v>
      </c>
      <c r="AJ18" s="103" t="s">
        <v>27</v>
      </c>
      <c r="AK18" s="93"/>
      <c r="AL18" s="103" t="s">
        <v>25</v>
      </c>
      <c r="AM18" s="103" t="s">
        <v>26</v>
      </c>
      <c r="AN18" s="103" t="s">
        <v>28</v>
      </c>
    </row>
    <row r="19" spans="1:40" s="93" customFormat="1" ht="50.1" customHeight="1" x14ac:dyDescent="0.25">
      <c r="A19" s="110">
        <v>1</v>
      </c>
      <c r="B19" s="139"/>
      <c r="C19" s="140" t="s">
        <v>341</v>
      </c>
      <c r="D19" s="140" t="s">
        <v>2511</v>
      </c>
      <c r="E19" s="141" t="s">
        <v>2512</v>
      </c>
      <c r="F19" s="142" t="str">
        <f t="shared" ref="F19" si="0">DATEDIF(R19,S19,"y") + DATEDIF(V19,W19,"y") + DATEDIF(X19,Y19,"y") + SUM(AH19) &amp; " años " &amp; DATEDIF(R19,S19,"ym") + DATEDIF(V19,W19,"ym") + DATEDIF(X19,Y19,"ym") + SUM(AI19) - SUM(AM19) &amp; " meses " &amp; DATEDIF(R19,S19,"md") + DATEDIF(V19,W19,"md") + DATEDIF(X19,Y19,"md") - SUM(AN19) &amp; " días"</f>
        <v>35 años 7 meses 0 días</v>
      </c>
      <c r="G19" s="143">
        <v>1</v>
      </c>
      <c r="H19" s="110" t="str">
        <f t="shared" ref="H19:H20" si="1">DATEDIF(T19,S19,"y") &amp; " años " &amp; DATEDIF(T19,S19,"ym") &amp; " meses " &amp; DATEDIF(T19,S19,"md") &amp; " días"</f>
        <v>57 años 1 meses 15 días</v>
      </c>
      <c r="I19" s="110" t="str">
        <f t="shared" ref="I19:I20" si="2">DATEDIF(U19,S19,"y") &amp; " años " &amp; DATEDIF(U19,S19,"ym") &amp; " meses " &amp; DATEDIF(U19,S19,"md") &amp; " días"</f>
        <v>6 años 5 meses 5 días</v>
      </c>
      <c r="J19" s="195"/>
      <c r="K19" s="196"/>
      <c r="L19" s="197"/>
      <c r="M19" s="144">
        <v>160000</v>
      </c>
      <c r="N19" s="115">
        <f t="shared" ref="N19:N61" si="3">M19*G19</f>
        <v>160000</v>
      </c>
      <c r="O19" s="134"/>
      <c r="P19" s="134" t="s">
        <v>42</v>
      </c>
      <c r="Q19" s="115" t="s">
        <v>336</v>
      </c>
      <c r="R19" s="145">
        <v>32510</v>
      </c>
      <c r="S19" s="146">
        <v>45505</v>
      </c>
      <c r="T19" s="145">
        <v>24640</v>
      </c>
      <c r="U19" s="145">
        <v>43158</v>
      </c>
      <c r="V19" s="116"/>
      <c r="W19" s="116"/>
      <c r="X19" s="116"/>
      <c r="Y19" s="116"/>
      <c r="Z19" s="52"/>
      <c r="AA19" s="52"/>
      <c r="AB19" s="52"/>
      <c r="AC19" s="117"/>
      <c r="AD19" s="118" t="s">
        <v>268</v>
      </c>
      <c r="AE19" s="119" t="s">
        <v>36</v>
      </c>
      <c r="AF19" s="135" t="s">
        <v>37</v>
      </c>
      <c r="AH19" s="118"/>
      <c r="AI19" s="118">
        <v>1</v>
      </c>
      <c r="AJ19" s="118"/>
      <c r="AL19" s="118"/>
      <c r="AM19" s="118"/>
      <c r="AN19" s="118">
        <v>30</v>
      </c>
    </row>
    <row r="20" spans="1:40" s="93" customFormat="1" ht="50.1" customHeight="1" x14ac:dyDescent="0.25">
      <c r="A20" s="110">
        <v>2</v>
      </c>
      <c r="B20" s="139"/>
      <c r="C20" s="140" t="s">
        <v>39</v>
      </c>
      <c r="D20" s="140" t="s">
        <v>2513</v>
      </c>
      <c r="E20" s="141" t="s">
        <v>2514</v>
      </c>
      <c r="F20" s="142" t="str">
        <f t="shared" ref="F20" si="4">DATEDIF(R20,S20,"y") + DATEDIF(V20,W20,"y") + DATEDIF(X20,Y20,"y") + SUM(AH20) &amp; " años " &amp; DATEDIF(R20,S20,"ym") + DATEDIF(V20,W20,"ym") + DATEDIF(X20,Y20,"ym") + SUM(AI20) - SUM(AM20) &amp; " meses " &amp; DATEDIF(R20,S20,"md") + DATEDIF(V20,W20,"md") + DATEDIF(X20,Y20,"md") - SUM(AN20) &amp; " días"</f>
        <v>35 años 0 meses 0 días</v>
      </c>
      <c r="G20" s="143">
        <v>1</v>
      </c>
      <c r="H20" s="110" t="str">
        <f t="shared" si="1"/>
        <v>52 años 6 meses 29 días</v>
      </c>
      <c r="I20" s="110" t="str">
        <f t="shared" si="2"/>
        <v>6 años 5 meses 5 días</v>
      </c>
      <c r="J20" s="195"/>
      <c r="K20" s="196"/>
      <c r="L20" s="197"/>
      <c r="M20" s="144">
        <v>150000</v>
      </c>
      <c r="N20" s="115">
        <f t="shared" si="3"/>
        <v>150000</v>
      </c>
      <c r="O20" s="134"/>
      <c r="P20" s="134" t="s">
        <v>42</v>
      </c>
      <c r="Q20" s="115" t="s">
        <v>336</v>
      </c>
      <c r="R20" s="145">
        <v>32721</v>
      </c>
      <c r="S20" s="146">
        <v>45505</v>
      </c>
      <c r="T20" s="145">
        <v>26301</v>
      </c>
      <c r="U20" s="145">
        <v>43158</v>
      </c>
      <c r="V20" s="116"/>
      <c r="W20" s="116"/>
      <c r="X20" s="116"/>
      <c r="Y20" s="116"/>
      <c r="Z20" s="52"/>
      <c r="AA20" s="52"/>
      <c r="AB20" s="52"/>
      <c r="AC20" s="117"/>
      <c r="AD20" s="118" t="s">
        <v>35</v>
      </c>
      <c r="AE20" s="119" t="s">
        <v>36</v>
      </c>
      <c r="AF20" s="135" t="s">
        <v>37</v>
      </c>
      <c r="AH20" s="118"/>
      <c r="AI20" s="118"/>
      <c r="AJ20" s="118"/>
      <c r="AL20" s="118"/>
      <c r="AM20" s="118"/>
      <c r="AN20" s="118"/>
    </row>
    <row r="21" spans="1:40" s="93" customFormat="1" ht="50.1" customHeight="1" x14ac:dyDescent="0.25">
      <c r="A21" s="110">
        <v>3</v>
      </c>
      <c r="B21" s="139"/>
      <c r="C21" s="140" t="s">
        <v>39</v>
      </c>
      <c r="D21" s="140" t="s">
        <v>2515</v>
      </c>
      <c r="E21" s="141" t="s">
        <v>2516</v>
      </c>
      <c r="F21" s="142" t="str">
        <f>DATEDIF(R21,S21,"y") + DATEDIF(V21,W21,"y") + DATEDIF(X21,Y21,"y") + SUM(AH21) &amp; " años " &amp; DATEDIF(R21,S21,"ym") + DATEDIF(V21,W21,"ym") + DATEDIF(X21,Y21,"ym") + SUM(AI21) - SUM(AM21) &amp; " meses " &amp; DATEDIF(R21,S21,"md") + DATEDIF(V21,W21,"md") + DATEDIF(X21,Y21,"md") - SUM(AN21) &amp; " días"</f>
        <v>31 años 10 meses 22 días</v>
      </c>
      <c r="G21" s="143">
        <v>0.91</v>
      </c>
      <c r="H21" s="110" t="str">
        <f>DATEDIF(T21,S21,"y") &amp; " años " &amp; DATEDIF(T21,S21,"ym") &amp; " meses " &amp; DATEDIF(T21,S21,"md") &amp; " días"</f>
        <v>53 años 10 meses 27 días</v>
      </c>
      <c r="I21" s="110" t="str">
        <f>DATEDIF(U21,S21,"y") &amp; " años " &amp; DATEDIF(U21,S21,"ym") &amp; " meses " &amp; DATEDIF(U21,S21,"md") &amp; " días"</f>
        <v>6 años 5 meses 5 días</v>
      </c>
      <c r="J21" s="195"/>
      <c r="K21" s="196"/>
      <c r="L21" s="197"/>
      <c r="M21" s="144">
        <v>120000</v>
      </c>
      <c r="N21" s="115">
        <f t="shared" si="3"/>
        <v>109200</v>
      </c>
      <c r="O21" s="134"/>
      <c r="P21" s="134" t="s">
        <v>42</v>
      </c>
      <c r="Q21" s="115" t="s">
        <v>336</v>
      </c>
      <c r="R21" s="145">
        <v>35318</v>
      </c>
      <c r="S21" s="146">
        <v>45505</v>
      </c>
      <c r="T21" s="145">
        <v>25816</v>
      </c>
      <c r="U21" s="145">
        <v>43158</v>
      </c>
      <c r="V21" s="116">
        <v>32387</v>
      </c>
      <c r="W21" s="116">
        <v>33847</v>
      </c>
      <c r="X21" s="116"/>
      <c r="Y21" s="116"/>
      <c r="Z21" s="52"/>
      <c r="AA21" s="52"/>
      <c r="AB21" s="52"/>
      <c r="AC21" s="117"/>
      <c r="AD21" s="118" t="s">
        <v>190</v>
      </c>
      <c r="AE21" s="119" t="s">
        <v>36</v>
      </c>
      <c r="AF21" s="135" t="s">
        <v>37</v>
      </c>
      <c r="AH21" s="118">
        <v>1</v>
      </c>
      <c r="AI21" s="118">
        <v>1</v>
      </c>
      <c r="AJ21" s="118"/>
      <c r="AL21" s="118"/>
      <c r="AM21" s="118">
        <v>12</v>
      </c>
      <c r="AN21" s="118">
        <v>30</v>
      </c>
    </row>
    <row r="22" spans="1:40" s="93" customFormat="1" ht="50.1" customHeight="1" x14ac:dyDescent="0.25">
      <c r="A22" s="110">
        <v>4</v>
      </c>
      <c r="B22" s="139"/>
      <c r="C22" s="140" t="s">
        <v>49</v>
      </c>
      <c r="D22" s="140" t="s">
        <v>2517</v>
      </c>
      <c r="E22" s="141" t="s">
        <v>2518</v>
      </c>
      <c r="F22" s="142" t="str">
        <f t="shared" ref="F22:F33" si="5">DATEDIF(R22,S22,"y") + DATEDIF(V22,W22,"y") + DATEDIF(X22,Y22,"y") + SUM(AH22) &amp; " años " &amp; DATEDIF(R22,S22,"ym") + DATEDIF(V22,W22,"ym") + DATEDIF(X22,Y22,"ym") + SUM(AI22) - SUM(AM22) &amp; " meses " &amp; DATEDIF(R22,S22,"md") + DATEDIF(V22,W22,"md") + DATEDIF(X22,Y22,"md") - SUM(AN22) &amp; " días"</f>
        <v>35 años 6 meses 12 días</v>
      </c>
      <c r="G22" s="143">
        <v>1</v>
      </c>
      <c r="H22" s="110" t="str">
        <f t="shared" ref="H22:H85" si="6">DATEDIF(T22,S22,"y") &amp; " años " &amp; DATEDIF(T22,S22,"ym") &amp; " meses " &amp; DATEDIF(T22,S22,"md") &amp; " días"</f>
        <v>53 años 2 meses 11 días</v>
      </c>
      <c r="I22" s="110" t="str">
        <f t="shared" ref="I22:I85" si="7">DATEDIF(U22,S22,"y") &amp; " años " &amp; DATEDIF(U22,S22,"ym") &amp; " meses " &amp; DATEDIF(U22,S22,"md") &amp; " días"</f>
        <v>10 años 5 meses 0 días</v>
      </c>
      <c r="J22" s="195"/>
      <c r="K22" s="196"/>
      <c r="L22" s="197"/>
      <c r="M22" s="144">
        <f>39234.82</f>
        <v>39234.82</v>
      </c>
      <c r="N22" s="115">
        <f t="shared" si="3"/>
        <v>39234.82</v>
      </c>
      <c r="O22" s="134"/>
      <c r="P22" s="134" t="s">
        <v>42</v>
      </c>
      <c r="Q22" s="115" t="s">
        <v>336</v>
      </c>
      <c r="R22" s="145">
        <v>32528</v>
      </c>
      <c r="S22" s="146">
        <v>45505</v>
      </c>
      <c r="T22" s="145">
        <v>26074</v>
      </c>
      <c r="U22" s="145">
        <v>41699</v>
      </c>
      <c r="V22" s="116"/>
      <c r="W22" s="116"/>
      <c r="X22" s="116"/>
      <c r="Y22" s="116"/>
      <c r="Z22" s="52"/>
      <c r="AA22" s="52"/>
      <c r="AB22" s="52"/>
      <c r="AC22" s="117"/>
      <c r="AD22" s="118" t="s">
        <v>268</v>
      </c>
      <c r="AE22" s="119" t="s">
        <v>36</v>
      </c>
      <c r="AF22" s="135" t="s">
        <v>37</v>
      </c>
      <c r="AH22" s="118"/>
      <c r="AI22" s="118"/>
      <c r="AJ22" s="118"/>
      <c r="AL22" s="118"/>
      <c r="AM22" s="118"/>
      <c r="AN22" s="118"/>
    </row>
    <row r="23" spans="1:40" s="93" customFormat="1" ht="50.1" customHeight="1" x14ac:dyDescent="0.25">
      <c r="A23" s="110">
        <v>5</v>
      </c>
      <c r="B23" s="139"/>
      <c r="C23" s="140" t="s">
        <v>49</v>
      </c>
      <c r="D23" s="140" t="s">
        <v>2519</v>
      </c>
      <c r="E23" s="141" t="s">
        <v>2520</v>
      </c>
      <c r="F23" s="142" t="str">
        <f t="shared" si="5"/>
        <v>22 años 11 meses 12 días</v>
      </c>
      <c r="G23" s="143">
        <v>0.67500000000000004</v>
      </c>
      <c r="H23" s="110" t="str">
        <f t="shared" si="6"/>
        <v>64 años 7 meses 17 días</v>
      </c>
      <c r="I23" s="110" t="str">
        <f t="shared" si="7"/>
        <v>3 años 5 meses 5 días</v>
      </c>
      <c r="J23" s="195"/>
      <c r="K23" s="196"/>
      <c r="L23" s="197"/>
      <c r="M23" s="144">
        <v>70000</v>
      </c>
      <c r="N23" s="115">
        <f t="shared" si="3"/>
        <v>47250</v>
      </c>
      <c r="O23" s="134"/>
      <c r="P23" s="134" t="s">
        <v>42</v>
      </c>
      <c r="Q23" s="115" t="s">
        <v>336</v>
      </c>
      <c r="R23" s="145">
        <v>37123</v>
      </c>
      <c r="S23" s="146">
        <v>45505</v>
      </c>
      <c r="T23" s="145">
        <v>21899</v>
      </c>
      <c r="U23" s="145">
        <v>44254</v>
      </c>
      <c r="V23" s="116"/>
      <c r="W23" s="116"/>
      <c r="X23" s="116"/>
      <c r="Y23" s="116"/>
      <c r="Z23" s="52"/>
      <c r="AA23" s="52"/>
      <c r="AB23" s="52"/>
      <c r="AC23" s="117"/>
      <c r="AD23" s="118" t="s">
        <v>134</v>
      </c>
      <c r="AE23" s="119" t="s">
        <v>36</v>
      </c>
      <c r="AF23" s="135" t="s">
        <v>37</v>
      </c>
      <c r="AH23" s="118"/>
      <c r="AI23" s="118"/>
      <c r="AJ23" s="118"/>
      <c r="AL23" s="118"/>
      <c r="AM23" s="118"/>
      <c r="AN23" s="118"/>
    </row>
    <row r="24" spans="1:40" s="93" customFormat="1" ht="50.1" customHeight="1" x14ac:dyDescent="0.25">
      <c r="A24" s="110">
        <v>6</v>
      </c>
      <c r="B24" s="139"/>
      <c r="C24" s="140" t="s">
        <v>49</v>
      </c>
      <c r="D24" s="140" t="s">
        <v>2521</v>
      </c>
      <c r="E24" s="141" t="s">
        <v>2522</v>
      </c>
      <c r="F24" s="142" t="str">
        <f t="shared" si="5"/>
        <v>27 años 2 meses 0 días</v>
      </c>
      <c r="G24" s="143">
        <v>0.77500000000000002</v>
      </c>
      <c r="H24" s="110" t="str">
        <f t="shared" si="6"/>
        <v>57 años 5 meses 19 días</v>
      </c>
      <c r="I24" s="110" t="str">
        <f t="shared" si="7"/>
        <v>8 años 5 meses 0 días</v>
      </c>
      <c r="J24" s="195"/>
      <c r="K24" s="196"/>
      <c r="L24" s="197"/>
      <c r="M24" s="144">
        <f>39234.81</f>
        <v>39234.81</v>
      </c>
      <c r="N24" s="115">
        <f t="shared" si="3"/>
        <v>30406.977749999998</v>
      </c>
      <c r="O24" s="134"/>
      <c r="P24" s="134" t="s">
        <v>42</v>
      </c>
      <c r="Q24" s="115" t="s">
        <v>336</v>
      </c>
      <c r="R24" s="145">
        <v>35582</v>
      </c>
      <c r="S24" s="146">
        <v>45505</v>
      </c>
      <c r="T24" s="145">
        <v>24516</v>
      </c>
      <c r="U24" s="145">
        <v>42430</v>
      </c>
      <c r="V24" s="116"/>
      <c r="W24" s="116"/>
      <c r="X24" s="116"/>
      <c r="Y24" s="116"/>
      <c r="Z24" s="52"/>
      <c r="AA24" s="52"/>
      <c r="AB24" s="52"/>
      <c r="AC24" s="117"/>
      <c r="AD24" s="118" t="s">
        <v>134</v>
      </c>
      <c r="AE24" s="119" t="s">
        <v>36</v>
      </c>
      <c r="AF24" s="135" t="s">
        <v>37</v>
      </c>
      <c r="AH24" s="118"/>
      <c r="AI24" s="118"/>
      <c r="AJ24" s="118"/>
      <c r="AL24" s="118"/>
      <c r="AM24" s="118"/>
      <c r="AN24" s="118"/>
    </row>
    <row r="25" spans="1:40" s="93" customFormat="1" ht="50.1" customHeight="1" x14ac:dyDescent="0.25">
      <c r="A25" s="110">
        <v>7</v>
      </c>
      <c r="B25" s="139"/>
      <c r="C25" s="140" t="s">
        <v>49</v>
      </c>
      <c r="D25" s="140" t="s">
        <v>2523</v>
      </c>
      <c r="E25" s="141" t="s">
        <v>2524</v>
      </c>
      <c r="F25" s="142" t="str">
        <f t="shared" si="5"/>
        <v>28 años 0 meses 27 días</v>
      </c>
      <c r="G25" s="143">
        <v>0.8</v>
      </c>
      <c r="H25" s="110" t="str">
        <f t="shared" si="6"/>
        <v>46 años 6 meses 15 días</v>
      </c>
      <c r="I25" s="110" t="str">
        <f t="shared" si="7"/>
        <v>0 años 5 meses 5 días</v>
      </c>
      <c r="J25" s="195"/>
      <c r="K25" s="196"/>
      <c r="L25" s="197"/>
      <c r="M25" s="144">
        <f>35615.53</f>
        <v>35615.53</v>
      </c>
      <c r="N25" s="115">
        <f t="shared" si="3"/>
        <v>28492.423999999999</v>
      </c>
      <c r="O25" s="134"/>
      <c r="P25" s="134" t="s">
        <v>42</v>
      </c>
      <c r="Q25" s="115" t="s">
        <v>336</v>
      </c>
      <c r="R25" s="145">
        <v>35251</v>
      </c>
      <c r="S25" s="146">
        <v>45505</v>
      </c>
      <c r="T25" s="145">
        <v>28507</v>
      </c>
      <c r="U25" s="145">
        <v>45349</v>
      </c>
      <c r="V25" s="116"/>
      <c r="W25" s="116"/>
      <c r="X25" s="116"/>
      <c r="Y25" s="116"/>
      <c r="Z25" s="52"/>
      <c r="AA25" s="52"/>
      <c r="AB25" s="52"/>
      <c r="AC25" s="117"/>
      <c r="AD25" s="118" t="s">
        <v>134</v>
      </c>
      <c r="AE25" s="119" t="s">
        <v>36</v>
      </c>
      <c r="AF25" s="135" t="s">
        <v>37</v>
      </c>
      <c r="AH25" s="118"/>
      <c r="AI25" s="118"/>
      <c r="AJ25" s="118"/>
      <c r="AL25" s="118"/>
      <c r="AM25" s="118"/>
      <c r="AN25" s="118"/>
    </row>
    <row r="26" spans="1:40" s="93" customFormat="1" ht="50.1" customHeight="1" x14ac:dyDescent="0.25">
      <c r="A26" s="110">
        <v>8</v>
      </c>
      <c r="B26" s="139"/>
      <c r="C26" s="140" t="s">
        <v>49</v>
      </c>
      <c r="D26" s="140" t="s">
        <v>2525</v>
      </c>
      <c r="E26" s="141" t="s">
        <v>2526</v>
      </c>
      <c r="F26" s="142" t="str">
        <f t="shared" si="5"/>
        <v>32 años 11 meses 0 días</v>
      </c>
      <c r="G26" s="143">
        <v>0.94</v>
      </c>
      <c r="H26" s="110" t="str">
        <f t="shared" si="6"/>
        <v>49 años 8 meses 5 días</v>
      </c>
      <c r="I26" s="110" t="str">
        <f t="shared" si="7"/>
        <v>8 años 5 meses 0 días</v>
      </c>
      <c r="J26" s="195"/>
      <c r="K26" s="196"/>
      <c r="L26" s="197"/>
      <c r="M26" s="144">
        <f>39234.82</f>
        <v>39234.82</v>
      </c>
      <c r="N26" s="115">
        <f t="shared" si="3"/>
        <v>36880.730799999998</v>
      </c>
      <c r="O26" s="134"/>
      <c r="P26" s="134" t="s">
        <v>42</v>
      </c>
      <c r="Q26" s="115" t="s">
        <v>336</v>
      </c>
      <c r="R26" s="145">
        <v>33482</v>
      </c>
      <c r="S26" s="146">
        <v>45505</v>
      </c>
      <c r="T26" s="145">
        <v>27360</v>
      </c>
      <c r="U26" s="145">
        <v>42430</v>
      </c>
      <c r="V26" s="116"/>
      <c r="W26" s="116"/>
      <c r="X26" s="116"/>
      <c r="Y26" s="116"/>
      <c r="Z26" s="52"/>
      <c r="AA26" s="52"/>
      <c r="AB26" s="52"/>
      <c r="AC26" s="117"/>
      <c r="AD26" s="118" t="s">
        <v>35</v>
      </c>
      <c r="AE26" s="119" t="s">
        <v>36</v>
      </c>
      <c r="AF26" s="135" t="s">
        <v>37</v>
      </c>
      <c r="AH26" s="118"/>
      <c r="AI26" s="118"/>
      <c r="AJ26" s="118"/>
      <c r="AL26" s="118"/>
      <c r="AM26" s="118"/>
      <c r="AN26" s="118"/>
    </row>
    <row r="27" spans="1:40" s="93" customFormat="1" ht="50.1" customHeight="1" x14ac:dyDescent="0.25">
      <c r="A27" s="110">
        <v>9</v>
      </c>
      <c r="B27" s="139"/>
      <c r="C27" s="140" t="s">
        <v>49</v>
      </c>
      <c r="D27" s="140" t="s">
        <v>2527</v>
      </c>
      <c r="E27" s="141" t="s">
        <v>2528</v>
      </c>
      <c r="F27" s="142" t="str">
        <f t="shared" si="5"/>
        <v>35 años 10 meses 27 días</v>
      </c>
      <c r="G27" s="143">
        <v>1</v>
      </c>
      <c r="H27" s="110" t="str">
        <f t="shared" si="6"/>
        <v>56 años 7 meses 27 días</v>
      </c>
      <c r="I27" s="110" t="str">
        <f t="shared" si="7"/>
        <v>6 años 5 meses 5 días</v>
      </c>
      <c r="J27" s="195"/>
      <c r="K27" s="196"/>
      <c r="L27" s="197"/>
      <c r="M27" s="144">
        <f>39234.82</f>
        <v>39234.82</v>
      </c>
      <c r="N27" s="115">
        <f t="shared" si="3"/>
        <v>39234.82</v>
      </c>
      <c r="O27" s="134"/>
      <c r="P27" s="134" t="s">
        <v>42</v>
      </c>
      <c r="Q27" s="115" t="s">
        <v>336</v>
      </c>
      <c r="R27" s="145">
        <v>32391</v>
      </c>
      <c r="S27" s="146">
        <v>45505</v>
      </c>
      <c r="T27" s="145">
        <v>24811</v>
      </c>
      <c r="U27" s="145">
        <v>43158</v>
      </c>
      <c r="V27" s="116"/>
      <c r="W27" s="116"/>
      <c r="X27" s="116"/>
      <c r="Y27" s="116"/>
      <c r="Z27" s="52"/>
      <c r="AA27" s="52"/>
      <c r="AB27" s="52"/>
      <c r="AC27" s="117"/>
      <c r="AD27" s="118" t="s">
        <v>35</v>
      </c>
      <c r="AE27" s="119" t="s">
        <v>36</v>
      </c>
      <c r="AF27" s="135" t="s">
        <v>37</v>
      </c>
      <c r="AH27" s="118"/>
      <c r="AI27" s="118"/>
      <c r="AJ27" s="118"/>
      <c r="AL27" s="118"/>
      <c r="AM27" s="118"/>
      <c r="AN27" s="118"/>
    </row>
    <row r="28" spans="1:40" s="93" customFormat="1" ht="50.1" customHeight="1" x14ac:dyDescent="0.25">
      <c r="A28" s="110">
        <v>10</v>
      </c>
      <c r="B28" s="139"/>
      <c r="C28" s="140" t="s">
        <v>49</v>
      </c>
      <c r="D28" s="140" t="s">
        <v>2529</v>
      </c>
      <c r="E28" s="141" t="s">
        <v>2530</v>
      </c>
      <c r="F28" s="142" t="str">
        <f t="shared" si="5"/>
        <v>30 años 11 meses 0 días</v>
      </c>
      <c r="G28" s="143">
        <v>0.88</v>
      </c>
      <c r="H28" s="110" t="str">
        <f t="shared" si="6"/>
        <v>55 años 11 meses 19 días</v>
      </c>
      <c r="I28" s="110" t="str">
        <f t="shared" si="7"/>
        <v>5 años 5 meses 0 días</v>
      </c>
      <c r="J28" s="195"/>
      <c r="K28" s="196"/>
      <c r="L28" s="197"/>
      <c r="M28" s="144">
        <f>39234.82</f>
        <v>39234.82</v>
      </c>
      <c r="N28" s="115">
        <f t="shared" si="3"/>
        <v>34526.641600000003</v>
      </c>
      <c r="O28" s="134"/>
      <c r="P28" s="134" t="s">
        <v>42</v>
      </c>
      <c r="Q28" s="115" t="s">
        <v>336</v>
      </c>
      <c r="R28" s="145">
        <v>34213</v>
      </c>
      <c r="S28" s="146">
        <v>45505</v>
      </c>
      <c r="T28" s="145">
        <v>25063</v>
      </c>
      <c r="U28" s="145">
        <v>43525</v>
      </c>
      <c r="V28" s="116"/>
      <c r="W28" s="116"/>
      <c r="X28" s="116"/>
      <c r="Y28" s="116"/>
      <c r="Z28" s="52"/>
      <c r="AA28" s="52"/>
      <c r="AB28" s="52"/>
      <c r="AC28" s="117"/>
      <c r="AD28" s="118" t="s">
        <v>134</v>
      </c>
      <c r="AE28" s="119" t="s">
        <v>36</v>
      </c>
      <c r="AF28" s="135" t="s">
        <v>37</v>
      </c>
      <c r="AH28" s="118"/>
      <c r="AI28" s="118"/>
      <c r="AJ28" s="118"/>
      <c r="AL28" s="118"/>
      <c r="AM28" s="118"/>
      <c r="AN28" s="118"/>
    </row>
    <row r="29" spans="1:40" s="93" customFormat="1" ht="50.1" customHeight="1" x14ac:dyDescent="0.25">
      <c r="A29" s="110">
        <v>11</v>
      </c>
      <c r="B29" s="139"/>
      <c r="C29" s="140" t="s">
        <v>49</v>
      </c>
      <c r="D29" s="140" t="s">
        <v>2531</v>
      </c>
      <c r="E29" s="141" t="s">
        <v>2532</v>
      </c>
      <c r="F29" s="142" t="str">
        <f t="shared" si="5"/>
        <v>29 años 3 meses 0 días</v>
      </c>
      <c r="G29" s="143">
        <v>0.82499999999999996</v>
      </c>
      <c r="H29" s="110" t="str">
        <f t="shared" si="6"/>
        <v>48 años 1 meses 30 días</v>
      </c>
      <c r="I29" s="110" t="str">
        <f t="shared" si="7"/>
        <v>6 años 5 meses 5 días</v>
      </c>
      <c r="J29" s="195"/>
      <c r="K29" s="196"/>
      <c r="L29" s="197"/>
      <c r="M29" s="144">
        <f>39234.81</f>
        <v>39234.81</v>
      </c>
      <c r="N29" s="115">
        <f t="shared" si="3"/>
        <v>32368.718249999998</v>
      </c>
      <c r="O29" s="134"/>
      <c r="P29" s="134" t="s">
        <v>42</v>
      </c>
      <c r="Q29" s="115" t="s">
        <v>336</v>
      </c>
      <c r="R29" s="145">
        <v>34820</v>
      </c>
      <c r="S29" s="146">
        <v>45505</v>
      </c>
      <c r="T29" s="145">
        <v>27913</v>
      </c>
      <c r="U29" s="145">
        <v>43158</v>
      </c>
      <c r="V29" s="116"/>
      <c r="W29" s="116"/>
      <c r="X29" s="116"/>
      <c r="Y29" s="116"/>
      <c r="Z29" s="52"/>
      <c r="AA29" s="52"/>
      <c r="AB29" s="52"/>
      <c r="AC29" s="117"/>
      <c r="AD29" s="118" t="s">
        <v>35</v>
      </c>
      <c r="AE29" s="119" t="s">
        <v>36</v>
      </c>
      <c r="AF29" s="135" t="s">
        <v>37</v>
      </c>
      <c r="AH29" s="118"/>
      <c r="AI29" s="118"/>
      <c r="AJ29" s="118"/>
      <c r="AL29" s="118"/>
      <c r="AM29" s="118"/>
      <c r="AN29" s="118"/>
    </row>
    <row r="30" spans="1:40" s="93" customFormat="1" ht="50.1" customHeight="1" x14ac:dyDescent="0.25">
      <c r="A30" s="110">
        <v>12</v>
      </c>
      <c r="B30" s="139"/>
      <c r="C30" s="140" t="s">
        <v>49</v>
      </c>
      <c r="D30" s="140" t="s">
        <v>2533</v>
      </c>
      <c r="E30" s="141" t="s">
        <v>2534</v>
      </c>
      <c r="F30" s="142" t="str">
        <f t="shared" si="5"/>
        <v>43 años 2 meses 0 días</v>
      </c>
      <c r="G30" s="143">
        <v>1</v>
      </c>
      <c r="H30" s="110" t="str">
        <f t="shared" si="6"/>
        <v>60 años 0 meses 26 días</v>
      </c>
      <c r="I30" s="110" t="str">
        <f t="shared" si="7"/>
        <v>4 años 5 meses 5 días</v>
      </c>
      <c r="J30" s="195"/>
      <c r="K30" s="196"/>
      <c r="L30" s="197"/>
      <c r="M30" s="144">
        <f>35615.53</f>
        <v>35615.53</v>
      </c>
      <c r="N30" s="115">
        <f t="shared" si="3"/>
        <v>35615.53</v>
      </c>
      <c r="O30" s="134"/>
      <c r="P30" s="134"/>
      <c r="Q30" s="115" t="s">
        <v>336</v>
      </c>
      <c r="R30" s="145">
        <v>29738</v>
      </c>
      <c r="S30" s="146">
        <v>45505</v>
      </c>
      <c r="T30" s="145">
        <v>23564</v>
      </c>
      <c r="U30" s="145">
        <v>43888</v>
      </c>
      <c r="V30" s="116"/>
      <c r="W30" s="116"/>
      <c r="X30" s="116"/>
      <c r="Y30" s="116"/>
      <c r="Z30" s="52"/>
      <c r="AA30" s="52"/>
      <c r="AB30" s="52"/>
      <c r="AC30" s="117"/>
      <c r="AD30" s="118" t="s">
        <v>48</v>
      </c>
      <c r="AE30" s="119" t="s">
        <v>36</v>
      </c>
      <c r="AF30" s="135" t="s">
        <v>37</v>
      </c>
      <c r="AH30" s="118"/>
      <c r="AI30" s="118"/>
      <c r="AJ30" s="118"/>
      <c r="AL30" s="118"/>
      <c r="AM30" s="118"/>
      <c r="AN30" s="118"/>
    </row>
    <row r="31" spans="1:40" s="93" customFormat="1" ht="50.1" customHeight="1" x14ac:dyDescent="0.25">
      <c r="A31" s="110">
        <v>13</v>
      </c>
      <c r="B31" s="139"/>
      <c r="C31" s="140" t="s">
        <v>49</v>
      </c>
      <c r="D31" s="140" t="s">
        <v>2535</v>
      </c>
      <c r="E31" s="141" t="s">
        <v>2536</v>
      </c>
      <c r="F31" s="142" t="str">
        <f t="shared" si="5"/>
        <v>22 años 10 meses 0 días</v>
      </c>
      <c r="G31" s="143">
        <v>0.67500000000000004</v>
      </c>
      <c r="H31" s="110" t="str">
        <f t="shared" si="6"/>
        <v>49 años 6 meses 13 días</v>
      </c>
      <c r="I31" s="110" t="str">
        <f t="shared" si="7"/>
        <v>5 años 5 meses 0 días</v>
      </c>
      <c r="J31" s="195"/>
      <c r="K31" s="196"/>
      <c r="L31" s="197"/>
      <c r="M31" s="144">
        <f>39234.82+14000</f>
        <v>53234.82</v>
      </c>
      <c r="N31" s="115">
        <f t="shared" si="3"/>
        <v>35933.503499999999</v>
      </c>
      <c r="O31" s="134"/>
      <c r="P31" s="134" t="s">
        <v>42</v>
      </c>
      <c r="Q31" s="115" t="s">
        <v>336</v>
      </c>
      <c r="R31" s="145">
        <v>39478</v>
      </c>
      <c r="S31" s="146">
        <v>45505</v>
      </c>
      <c r="T31" s="145">
        <v>27413</v>
      </c>
      <c r="U31" s="145">
        <v>43525</v>
      </c>
      <c r="V31" s="116">
        <v>37165</v>
      </c>
      <c r="W31" s="116">
        <v>39478</v>
      </c>
      <c r="X31" s="116"/>
      <c r="Y31" s="116"/>
      <c r="Z31" s="52"/>
      <c r="AA31" s="52"/>
      <c r="AB31" s="52"/>
      <c r="AC31" s="117"/>
      <c r="AD31" s="118" t="s">
        <v>268</v>
      </c>
      <c r="AE31" s="119" t="s">
        <v>36</v>
      </c>
      <c r="AF31" s="135" t="s">
        <v>37</v>
      </c>
      <c r="AH31" s="118"/>
      <c r="AI31" s="118">
        <v>1</v>
      </c>
      <c r="AJ31" s="118"/>
      <c r="AL31" s="118"/>
      <c r="AM31" s="118"/>
      <c r="AN31" s="118">
        <v>31</v>
      </c>
    </row>
    <row r="32" spans="1:40" s="93" customFormat="1" ht="50.1" customHeight="1" x14ac:dyDescent="0.25">
      <c r="A32" s="110">
        <v>14</v>
      </c>
      <c r="B32" s="139"/>
      <c r="C32" s="140" t="s">
        <v>49</v>
      </c>
      <c r="D32" s="140" t="s">
        <v>2537</v>
      </c>
      <c r="E32" s="141" t="s">
        <v>2538</v>
      </c>
      <c r="F32" s="142" t="str">
        <f t="shared" si="5"/>
        <v>30 años 8 meses 9 días</v>
      </c>
      <c r="G32" s="143">
        <v>0.88</v>
      </c>
      <c r="H32" s="110" t="str">
        <f t="shared" si="6"/>
        <v>49 años 10 meses 0 días</v>
      </c>
      <c r="I32" s="110" t="str">
        <f t="shared" si="7"/>
        <v>5 años 5 meses 0 días</v>
      </c>
      <c r="J32" s="195"/>
      <c r="K32" s="196"/>
      <c r="L32" s="197"/>
      <c r="M32" s="144">
        <f>39234.82</f>
        <v>39234.82</v>
      </c>
      <c r="N32" s="115">
        <f t="shared" si="3"/>
        <v>34526.641600000003</v>
      </c>
      <c r="O32" s="134"/>
      <c r="P32" s="134" t="s">
        <v>42</v>
      </c>
      <c r="Q32" s="115" t="s">
        <v>336</v>
      </c>
      <c r="R32" s="145">
        <v>35339</v>
      </c>
      <c r="S32" s="146">
        <v>45505</v>
      </c>
      <c r="T32" s="145">
        <v>27303</v>
      </c>
      <c r="U32" s="145">
        <v>43525</v>
      </c>
      <c r="V32" s="116">
        <v>33664</v>
      </c>
      <c r="W32" s="116">
        <v>34709</v>
      </c>
      <c r="X32" s="116"/>
      <c r="Y32" s="116"/>
      <c r="Z32" s="52"/>
      <c r="AA32" s="52"/>
      <c r="AB32" s="52"/>
      <c r="AC32" s="117"/>
      <c r="AD32" s="118" t="s">
        <v>268</v>
      </c>
      <c r="AE32" s="119" t="s">
        <v>36</v>
      </c>
      <c r="AF32" s="135" t="s">
        <v>37</v>
      </c>
      <c r="AH32" s="118">
        <v>1</v>
      </c>
      <c r="AI32" s="118"/>
      <c r="AJ32" s="118"/>
      <c r="AL32" s="118"/>
      <c r="AM32" s="118">
        <v>12</v>
      </c>
      <c r="AN32" s="118"/>
    </row>
    <row r="33" spans="1:40" s="93" customFormat="1" ht="50.1" customHeight="1" x14ac:dyDescent="0.25">
      <c r="A33" s="110">
        <v>15</v>
      </c>
      <c r="B33" s="139"/>
      <c r="C33" s="140" t="s">
        <v>49</v>
      </c>
      <c r="D33" s="140" t="s">
        <v>2539</v>
      </c>
      <c r="E33" s="141" t="s">
        <v>2540</v>
      </c>
      <c r="F33" s="142" t="str">
        <f t="shared" si="5"/>
        <v>35 años 2 meses 17 días</v>
      </c>
      <c r="G33" s="143">
        <v>1</v>
      </c>
      <c r="H33" s="110" t="str">
        <f t="shared" si="6"/>
        <v>54 años 6 meses 13 días</v>
      </c>
      <c r="I33" s="110" t="str">
        <f t="shared" si="7"/>
        <v>12 años 11 meses 16 días</v>
      </c>
      <c r="J33" s="195" t="s">
        <v>13</v>
      </c>
      <c r="K33" s="196"/>
      <c r="L33" s="197"/>
      <c r="M33" s="144">
        <f>39234.82</f>
        <v>39234.82</v>
      </c>
      <c r="N33" s="115">
        <f t="shared" si="3"/>
        <v>39234.82</v>
      </c>
      <c r="O33" s="134"/>
      <c r="P33" s="134" t="s">
        <v>42</v>
      </c>
      <c r="Q33" s="115" t="s">
        <v>336</v>
      </c>
      <c r="R33" s="145">
        <v>32643</v>
      </c>
      <c r="S33" s="146">
        <v>45505</v>
      </c>
      <c r="T33" s="145">
        <v>25587</v>
      </c>
      <c r="U33" s="145">
        <v>40771</v>
      </c>
      <c r="V33" s="116"/>
      <c r="W33" s="116"/>
      <c r="X33" s="116"/>
      <c r="Y33" s="116"/>
      <c r="Z33" s="52"/>
      <c r="AA33" s="52"/>
      <c r="AB33" s="52"/>
      <c r="AC33" s="117"/>
      <c r="AD33" s="118" t="s">
        <v>134</v>
      </c>
      <c r="AE33" s="119" t="s">
        <v>36</v>
      </c>
      <c r="AF33" s="135" t="s">
        <v>37</v>
      </c>
      <c r="AH33" s="118"/>
      <c r="AI33" s="118"/>
      <c r="AJ33" s="118"/>
      <c r="AL33" s="118"/>
      <c r="AM33" s="118"/>
      <c r="AN33" s="118"/>
    </row>
    <row r="34" spans="1:40" s="93" customFormat="1" ht="50.1" customHeight="1" x14ac:dyDescent="0.25">
      <c r="A34" s="110">
        <v>16</v>
      </c>
      <c r="B34" s="139"/>
      <c r="C34" s="140" t="s">
        <v>56</v>
      </c>
      <c r="D34" s="140" t="s">
        <v>2541</v>
      </c>
      <c r="E34" s="141" t="s">
        <v>2542</v>
      </c>
      <c r="F34" s="142" t="str">
        <f t="shared" ref="F34:F84" si="8">DATEDIF(R34,S34,"y") + DATEDIF(V34,W34,"y") + DATEDIF(X34,Y34,"y") + SUM(AH34) &amp; " años " &amp; DATEDIF(R34,S34,"ym") + DATEDIF(V34,W34,"ym") + DATEDIF(X34,Y34,"ym") + SUM(AI34) - SUM(AM34) &amp; " meses " &amp; DATEDIF(R34,S34,"md") + DATEDIF(V34,W34,"md") + DATEDIF(X34,Y34,"md") - SUM(AN34) &amp; " días"</f>
        <v>30 años 4 meses 28 días</v>
      </c>
      <c r="G34" s="143">
        <v>0.85</v>
      </c>
      <c r="H34" s="110" t="str">
        <f t="shared" si="6"/>
        <v>50 años 4 meses 10 días</v>
      </c>
      <c r="I34" s="110" t="str">
        <f t="shared" si="7"/>
        <v>5 años 5 meses 0 días</v>
      </c>
      <c r="J34" s="195"/>
      <c r="K34" s="196"/>
      <c r="L34" s="197"/>
      <c r="M34" s="144">
        <f>35615.53</f>
        <v>35615.53</v>
      </c>
      <c r="N34" s="115">
        <f t="shared" si="3"/>
        <v>30273.200499999999</v>
      </c>
      <c r="O34" s="134"/>
      <c r="P34" s="134" t="s">
        <v>42</v>
      </c>
      <c r="Q34" s="115" t="s">
        <v>336</v>
      </c>
      <c r="R34" s="145">
        <v>35765</v>
      </c>
      <c r="S34" s="146">
        <v>45505</v>
      </c>
      <c r="T34" s="145">
        <v>27110</v>
      </c>
      <c r="U34" s="145">
        <v>43525</v>
      </c>
      <c r="V34" s="116">
        <v>34001</v>
      </c>
      <c r="W34" s="116">
        <v>35367</v>
      </c>
      <c r="X34" s="116"/>
      <c r="Y34" s="116"/>
      <c r="Z34" s="52"/>
      <c r="AA34" s="52"/>
      <c r="AB34" s="52"/>
      <c r="AC34" s="117"/>
      <c r="AD34" s="118" t="s">
        <v>293</v>
      </c>
      <c r="AE34" s="119" t="s">
        <v>36</v>
      </c>
      <c r="AF34" s="135" t="s">
        <v>37</v>
      </c>
      <c r="AH34" s="118">
        <v>1</v>
      </c>
      <c r="AI34" s="118"/>
      <c r="AJ34" s="118"/>
      <c r="AL34" s="118"/>
      <c r="AM34" s="118">
        <v>12</v>
      </c>
      <c r="AN34" s="118"/>
    </row>
    <row r="35" spans="1:40" s="93" customFormat="1" ht="50.1" customHeight="1" x14ac:dyDescent="0.25">
      <c r="A35" s="110">
        <v>17</v>
      </c>
      <c r="B35" s="139"/>
      <c r="C35" s="140" t="s">
        <v>56</v>
      </c>
      <c r="D35" s="140" t="s">
        <v>2543</v>
      </c>
      <c r="E35" s="141" t="s">
        <v>2544</v>
      </c>
      <c r="F35" s="142" t="str">
        <f t="shared" si="8"/>
        <v>35 años 4 meses 0 días</v>
      </c>
      <c r="G35" s="143">
        <v>1</v>
      </c>
      <c r="H35" s="110" t="str">
        <f t="shared" si="6"/>
        <v>56 años 6 meses 22 días</v>
      </c>
      <c r="I35" s="110" t="str">
        <f t="shared" si="7"/>
        <v>6 años 5 meses 5 días</v>
      </c>
      <c r="J35" s="195"/>
      <c r="K35" s="196"/>
      <c r="L35" s="197"/>
      <c r="M35" s="144">
        <f t="shared" ref="M35" si="9">35615.53+12000</f>
        <v>47615.53</v>
      </c>
      <c r="N35" s="115">
        <f t="shared" si="3"/>
        <v>47615.53</v>
      </c>
      <c r="O35" s="134"/>
      <c r="P35" s="134" t="s">
        <v>42</v>
      </c>
      <c r="Q35" s="115" t="s">
        <v>336</v>
      </c>
      <c r="R35" s="145">
        <v>32599</v>
      </c>
      <c r="S35" s="146">
        <v>45505</v>
      </c>
      <c r="T35" s="145">
        <v>24847</v>
      </c>
      <c r="U35" s="145">
        <v>43158</v>
      </c>
      <c r="V35" s="116"/>
      <c r="W35" s="116"/>
      <c r="X35" s="116"/>
      <c r="Y35" s="116"/>
      <c r="Z35" s="52"/>
      <c r="AA35" s="52"/>
      <c r="AB35" s="52"/>
      <c r="AC35" s="117"/>
      <c r="AD35" s="118" t="s">
        <v>1032</v>
      </c>
      <c r="AE35" s="119" t="s">
        <v>36</v>
      </c>
      <c r="AF35" s="135" t="s">
        <v>37</v>
      </c>
      <c r="AH35" s="118"/>
      <c r="AI35" s="118"/>
      <c r="AJ35" s="118"/>
      <c r="AL35" s="118"/>
      <c r="AM35" s="118"/>
      <c r="AN35" s="118"/>
    </row>
    <row r="36" spans="1:40" s="93" customFormat="1" ht="50.1" customHeight="1" x14ac:dyDescent="0.25">
      <c r="A36" s="110">
        <v>18</v>
      </c>
      <c r="B36" s="139"/>
      <c r="C36" s="140" t="s">
        <v>56</v>
      </c>
      <c r="D36" s="140" t="s">
        <v>2545</v>
      </c>
      <c r="E36" s="141" t="s">
        <v>2546</v>
      </c>
      <c r="F36" s="142" t="str">
        <f t="shared" si="8"/>
        <v>31 años 11 meses 0 días</v>
      </c>
      <c r="G36" s="143">
        <v>0.91</v>
      </c>
      <c r="H36" s="110" t="str">
        <f t="shared" si="6"/>
        <v>49 años 9 meses 17 días</v>
      </c>
      <c r="I36" s="110" t="str">
        <f t="shared" si="7"/>
        <v>10 años 10 meses 24 días</v>
      </c>
      <c r="J36" s="195" t="s">
        <v>13</v>
      </c>
      <c r="K36" s="196"/>
      <c r="L36" s="197"/>
      <c r="M36" s="144">
        <f>35615.53</f>
        <v>35615.53</v>
      </c>
      <c r="N36" s="115">
        <f t="shared" si="3"/>
        <v>32410.132300000001</v>
      </c>
      <c r="O36" s="134"/>
      <c r="P36" s="134" t="s">
        <v>42</v>
      </c>
      <c r="Q36" s="115" t="s">
        <v>336</v>
      </c>
      <c r="R36" s="145">
        <v>33848</v>
      </c>
      <c r="S36" s="146">
        <v>45505</v>
      </c>
      <c r="T36" s="145">
        <v>27317</v>
      </c>
      <c r="U36" s="145">
        <v>41525</v>
      </c>
      <c r="V36" s="116"/>
      <c r="W36" s="116"/>
      <c r="X36" s="116"/>
      <c r="Y36" s="116"/>
      <c r="Z36" s="52"/>
      <c r="AA36" s="52"/>
      <c r="AB36" s="52"/>
      <c r="AC36" s="117"/>
      <c r="AD36" s="118" t="s">
        <v>1032</v>
      </c>
      <c r="AE36" s="119" t="s">
        <v>36</v>
      </c>
      <c r="AF36" s="135" t="s">
        <v>37</v>
      </c>
      <c r="AH36" s="118"/>
      <c r="AI36" s="118"/>
      <c r="AJ36" s="118"/>
      <c r="AL36" s="118"/>
      <c r="AM36" s="118"/>
      <c r="AN36" s="118"/>
    </row>
    <row r="37" spans="1:40" s="93" customFormat="1" ht="50.1" customHeight="1" x14ac:dyDescent="0.25">
      <c r="A37" s="110">
        <v>19</v>
      </c>
      <c r="B37" s="139"/>
      <c r="C37" s="140" t="s">
        <v>56</v>
      </c>
      <c r="D37" s="140" t="s">
        <v>2547</v>
      </c>
      <c r="E37" s="141" t="s">
        <v>2548</v>
      </c>
      <c r="F37" s="142" t="str">
        <f t="shared" si="8"/>
        <v>26 años 4 meses 0 días</v>
      </c>
      <c r="G37" s="143">
        <v>0.75</v>
      </c>
      <c r="H37" s="110" t="str">
        <f t="shared" si="6"/>
        <v>43 años 11 meses 30 días</v>
      </c>
      <c r="I37" s="110" t="str">
        <f t="shared" si="7"/>
        <v>8 años 5 meses 0 días</v>
      </c>
      <c r="J37" s="195"/>
      <c r="K37" s="196"/>
      <c r="L37" s="197"/>
      <c r="M37" s="144">
        <f>35615.52</f>
        <v>35615.519999999997</v>
      </c>
      <c r="N37" s="115">
        <f t="shared" si="3"/>
        <v>26711.64</v>
      </c>
      <c r="O37" s="134"/>
      <c r="P37" s="134" t="s">
        <v>42</v>
      </c>
      <c r="Q37" s="115" t="s">
        <v>336</v>
      </c>
      <c r="R37" s="145">
        <v>35886</v>
      </c>
      <c r="S37" s="146">
        <v>45505</v>
      </c>
      <c r="T37" s="145">
        <v>29435</v>
      </c>
      <c r="U37" s="145">
        <v>42430</v>
      </c>
      <c r="V37" s="116"/>
      <c r="W37" s="116"/>
      <c r="X37" s="116"/>
      <c r="Y37" s="116"/>
      <c r="Z37" s="52"/>
      <c r="AA37" s="52"/>
      <c r="AB37" s="52"/>
      <c r="AC37" s="117"/>
      <c r="AD37" s="118" t="s">
        <v>134</v>
      </c>
      <c r="AE37" s="119" t="s">
        <v>36</v>
      </c>
      <c r="AF37" s="135" t="s">
        <v>37</v>
      </c>
      <c r="AH37" s="118"/>
      <c r="AI37" s="118"/>
      <c r="AJ37" s="118"/>
      <c r="AL37" s="118"/>
      <c r="AM37" s="118"/>
      <c r="AN37" s="118"/>
    </row>
    <row r="38" spans="1:40" s="93" customFormat="1" ht="50.1" customHeight="1" x14ac:dyDescent="0.25">
      <c r="A38" s="110">
        <v>20</v>
      </c>
      <c r="B38" s="139"/>
      <c r="C38" s="140" t="s">
        <v>56</v>
      </c>
      <c r="D38" s="140" t="s">
        <v>2549</v>
      </c>
      <c r="E38" s="141" t="s">
        <v>2550</v>
      </c>
      <c r="F38" s="142" t="str">
        <f t="shared" si="8"/>
        <v>29 años 2 meses 0 días</v>
      </c>
      <c r="G38" s="143">
        <v>0.82499999999999996</v>
      </c>
      <c r="H38" s="110" t="str">
        <f t="shared" si="6"/>
        <v>59 años 6 meses 6 días</v>
      </c>
      <c r="I38" s="110" t="str">
        <f t="shared" si="7"/>
        <v>9 años 5 meses 5 días</v>
      </c>
      <c r="J38" s="195"/>
      <c r="K38" s="196"/>
      <c r="L38" s="197"/>
      <c r="M38" s="144">
        <f>35615.53</f>
        <v>35615.53</v>
      </c>
      <c r="N38" s="115">
        <f t="shared" si="3"/>
        <v>29382.812249999999</v>
      </c>
      <c r="O38" s="134"/>
      <c r="P38" s="134" t="s">
        <v>42</v>
      </c>
      <c r="Q38" s="115" t="s">
        <v>336</v>
      </c>
      <c r="R38" s="145">
        <v>34851</v>
      </c>
      <c r="S38" s="146">
        <v>45505</v>
      </c>
      <c r="T38" s="145">
        <v>23768</v>
      </c>
      <c r="U38" s="145">
        <v>42062</v>
      </c>
      <c r="V38" s="116"/>
      <c r="W38" s="116"/>
      <c r="X38" s="116"/>
      <c r="Y38" s="116"/>
      <c r="Z38" s="52"/>
      <c r="AA38" s="52"/>
      <c r="AB38" s="52"/>
      <c r="AC38" s="117"/>
      <c r="AD38" s="118" t="s">
        <v>35</v>
      </c>
      <c r="AE38" s="119" t="s">
        <v>36</v>
      </c>
      <c r="AF38" s="135" t="s">
        <v>37</v>
      </c>
      <c r="AH38" s="118"/>
      <c r="AI38" s="118"/>
      <c r="AJ38" s="118"/>
      <c r="AL38" s="118"/>
      <c r="AM38" s="118"/>
      <c r="AN38" s="118"/>
    </row>
    <row r="39" spans="1:40" s="93" customFormat="1" ht="50.1" customHeight="1" x14ac:dyDescent="0.25">
      <c r="A39" s="110">
        <v>21</v>
      </c>
      <c r="B39" s="139"/>
      <c r="C39" s="140" t="s">
        <v>56</v>
      </c>
      <c r="D39" s="140" t="s">
        <v>2551</v>
      </c>
      <c r="E39" s="141" t="s">
        <v>2552</v>
      </c>
      <c r="F39" s="142" t="str">
        <f t="shared" si="8"/>
        <v>26 años 2 meses 12 días</v>
      </c>
      <c r="G39" s="143">
        <v>0.75</v>
      </c>
      <c r="H39" s="110" t="str">
        <f t="shared" si="6"/>
        <v>49 años 7 meses 28 días</v>
      </c>
      <c r="I39" s="110" t="str">
        <f t="shared" si="7"/>
        <v>8 años 5 meses 0 días</v>
      </c>
      <c r="J39" s="195"/>
      <c r="K39" s="196"/>
      <c r="L39" s="197"/>
      <c r="M39" s="144">
        <f>35615.52</f>
        <v>35615.519999999997</v>
      </c>
      <c r="N39" s="115">
        <f t="shared" si="3"/>
        <v>26711.64</v>
      </c>
      <c r="O39" s="134"/>
      <c r="P39" s="134" t="s">
        <v>42</v>
      </c>
      <c r="Q39" s="115" t="s">
        <v>336</v>
      </c>
      <c r="R39" s="145">
        <v>35935</v>
      </c>
      <c r="S39" s="146">
        <v>45505</v>
      </c>
      <c r="T39" s="145">
        <v>27367</v>
      </c>
      <c r="U39" s="145">
        <v>42430</v>
      </c>
      <c r="V39" s="116"/>
      <c r="W39" s="116"/>
      <c r="X39" s="116"/>
      <c r="Y39" s="116"/>
      <c r="Z39" s="52"/>
      <c r="AA39" s="52"/>
      <c r="AB39" s="52"/>
      <c r="AC39" s="117"/>
      <c r="AD39" s="118" t="s">
        <v>134</v>
      </c>
      <c r="AE39" s="119" t="s">
        <v>36</v>
      </c>
      <c r="AF39" s="135" t="s">
        <v>37</v>
      </c>
      <c r="AH39" s="118"/>
      <c r="AI39" s="118"/>
      <c r="AJ39" s="118"/>
      <c r="AL39" s="118"/>
      <c r="AM39" s="118"/>
      <c r="AN39" s="118"/>
    </row>
    <row r="40" spans="1:40" s="93" customFormat="1" ht="50.1" customHeight="1" x14ac:dyDescent="0.25">
      <c r="A40" s="110">
        <v>22</v>
      </c>
      <c r="B40" s="139"/>
      <c r="C40" s="140" t="s">
        <v>56</v>
      </c>
      <c r="D40" s="140" t="s">
        <v>2553</v>
      </c>
      <c r="E40" s="141" t="s">
        <v>2554</v>
      </c>
      <c r="F40" s="142" t="str">
        <f t="shared" si="8"/>
        <v>31 años 2 meses 0 días</v>
      </c>
      <c r="G40" s="143">
        <v>0.88</v>
      </c>
      <c r="H40" s="110" t="str">
        <f t="shared" si="6"/>
        <v>49 años 6 meses 22 días</v>
      </c>
      <c r="I40" s="110" t="str">
        <f t="shared" si="7"/>
        <v>2 años 5 meses 5 días</v>
      </c>
      <c r="J40" s="195"/>
      <c r="K40" s="196"/>
      <c r="L40" s="197"/>
      <c r="M40" s="144">
        <f>34575.77+8000</f>
        <v>42575.77</v>
      </c>
      <c r="N40" s="115">
        <f t="shared" si="3"/>
        <v>37466.677599999995</v>
      </c>
      <c r="O40" s="134"/>
      <c r="P40" s="134" t="s">
        <v>42</v>
      </c>
      <c r="Q40" s="115" t="s">
        <v>336</v>
      </c>
      <c r="R40" s="145">
        <v>34121</v>
      </c>
      <c r="S40" s="146">
        <v>45505</v>
      </c>
      <c r="T40" s="145">
        <v>27404</v>
      </c>
      <c r="U40" s="145">
        <v>44619</v>
      </c>
      <c r="V40" s="116"/>
      <c r="W40" s="116"/>
      <c r="X40" s="116"/>
      <c r="Y40" s="116"/>
      <c r="Z40" s="52"/>
      <c r="AA40" s="52"/>
      <c r="AB40" s="52"/>
      <c r="AC40" s="117"/>
      <c r="AD40" s="118" t="s">
        <v>35</v>
      </c>
      <c r="AE40" s="119" t="s">
        <v>36</v>
      </c>
      <c r="AF40" s="135" t="s">
        <v>37</v>
      </c>
      <c r="AH40" s="118"/>
      <c r="AI40" s="118"/>
      <c r="AJ40" s="118"/>
      <c r="AL40" s="118"/>
      <c r="AM40" s="118"/>
      <c r="AN40" s="118"/>
    </row>
    <row r="41" spans="1:40" s="93" customFormat="1" ht="50.1" customHeight="1" x14ac:dyDescent="0.25">
      <c r="A41" s="110">
        <v>23</v>
      </c>
      <c r="B41" s="139"/>
      <c r="C41" s="140" t="s">
        <v>56</v>
      </c>
      <c r="D41" s="140" t="s">
        <v>2555</v>
      </c>
      <c r="E41" s="141" t="s">
        <v>2556</v>
      </c>
      <c r="F41" s="142" t="str">
        <f t="shared" si="8"/>
        <v>32 años 1 meses 0 días</v>
      </c>
      <c r="G41" s="143">
        <v>0.91</v>
      </c>
      <c r="H41" s="110" t="str">
        <f t="shared" si="6"/>
        <v>53 años 2 meses 25 días</v>
      </c>
      <c r="I41" s="110" t="str">
        <f t="shared" si="7"/>
        <v>8 años 5 meses 0 días</v>
      </c>
      <c r="J41" s="195"/>
      <c r="K41" s="196"/>
      <c r="L41" s="197"/>
      <c r="M41" s="144">
        <f>35615.53</f>
        <v>35615.53</v>
      </c>
      <c r="N41" s="115">
        <f t="shared" si="3"/>
        <v>32410.132300000001</v>
      </c>
      <c r="O41" s="134"/>
      <c r="P41" s="134" t="s">
        <v>42</v>
      </c>
      <c r="Q41" s="115" t="s">
        <v>336</v>
      </c>
      <c r="R41" s="145">
        <v>33786</v>
      </c>
      <c r="S41" s="146">
        <v>45505</v>
      </c>
      <c r="T41" s="145">
        <v>26060</v>
      </c>
      <c r="U41" s="145">
        <v>42430</v>
      </c>
      <c r="V41" s="116"/>
      <c r="W41" s="116"/>
      <c r="X41" s="116"/>
      <c r="Y41" s="116"/>
      <c r="Z41" s="52"/>
      <c r="AA41" s="52"/>
      <c r="AB41" s="52"/>
      <c r="AC41" s="117"/>
      <c r="AD41" s="118" t="s">
        <v>134</v>
      </c>
      <c r="AE41" s="119" t="s">
        <v>36</v>
      </c>
      <c r="AF41" s="135" t="s">
        <v>37</v>
      </c>
      <c r="AH41" s="118"/>
      <c r="AI41" s="118"/>
      <c r="AJ41" s="118"/>
      <c r="AL41" s="118"/>
      <c r="AM41" s="118"/>
      <c r="AN41" s="118"/>
    </row>
    <row r="42" spans="1:40" s="93" customFormat="1" ht="50.1" customHeight="1" x14ac:dyDescent="0.25">
      <c r="A42" s="110">
        <v>24</v>
      </c>
      <c r="B42" s="139"/>
      <c r="C42" s="140" t="s">
        <v>56</v>
      </c>
      <c r="D42" s="140" t="s">
        <v>2557</v>
      </c>
      <c r="E42" s="141" t="s">
        <v>2558</v>
      </c>
      <c r="F42" s="142" t="str">
        <f t="shared" si="8"/>
        <v>33 años 2 meses 0 días</v>
      </c>
      <c r="G42" s="143">
        <v>0.94</v>
      </c>
      <c r="H42" s="110" t="str">
        <f t="shared" si="6"/>
        <v>54 años 6 meses 18 días</v>
      </c>
      <c r="I42" s="110" t="str">
        <f t="shared" si="7"/>
        <v>13 años 5 meses 0 días</v>
      </c>
      <c r="J42" s="195" t="s">
        <v>13</v>
      </c>
      <c r="K42" s="196"/>
      <c r="L42" s="197"/>
      <c r="M42" s="144">
        <f>35615.53</f>
        <v>35615.53</v>
      </c>
      <c r="N42" s="115">
        <f t="shared" si="3"/>
        <v>33478.5982</v>
      </c>
      <c r="O42" s="134"/>
      <c r="P42" s="134" t="s">
        <v>42</v>
      </c>
      <c r="Q42" s="115" t="s">
        <v>336</v>
      </c>
      <c r="R42" s="145">
        <v>33390</v>
      </c>
      <c r="S42" s="146">
        <v>45505</v>
      </c>
      <c r="T42" s="145">
        <v>25582</v>
      </c>
      <c r="U42" s="145">
        <v>40603</v>
      </c>
      <c r="V42" s="116"/>
      <c r="W42" s="116"/>
      <c r="X42" s="116"/>
      <c r="Y42" s="116"/>
      <c r="Z42" s="52"/>
      <c r="AA42" s="52"/>
      <c r="AB42" s="52"/>
      <c r="AC42" s="117"/>
      <c r="AD42" s="118" t="s">
        <v>1032</v>
      </c>
      <c r="AE42" s="119" t="s">
        <v>36</v>
      </c>
      <c r="AF42" s="135" t="s">
        <v>37</v>
      </c>
      <c r="AH42" s="118"/>
      <c r="AI42" s="118"/>
      <c r="AJ42" s="118"/>
      <c r="AL42" s="118"/>
      <c r="AM42" s="118"/>
      <c r="AN42" s="118"/>
    </row>
    <row r="43" spans="1:40" s="93" customFormat="1" ht="50.1" customHeight="1" x14ac:dyDescent="0.25">
      <c r="A43" s="110">
        <v>25</v>
      </c>
      <c r="B43" s="139"/>
      <c r="C43" s="140" t="s">
        <v>56</v>
      </c>
      <c r="D43" s="140" t="s">
        <v>2559</v>
      </c>
      <c r="E43" s="141" t="s">
        <v>2560</v>
      </c>
      <c r="F43" s="142" t="str">
        <f t="shared" si="8"/>
        <v>30 años 6 meses 15 días</v>
      </c>
      <c r="G43" s="143">
        <v>0.88</v>
      </c>
      <c r="H43" s="110" t="str">
        <f t="shared" si="6"/>
        <v>47 años 2 meses 3 días</v>
      </c>
      <c r="I43" s="110" t="str">
        <f t="shared" si="7"/>
        <v>6 años 5 meses 5 días</v>
      </c>
      <c r="J43" s="195"/>
      <c r="K43" s="196"/>
      <c r="L43" s="197"/>
      <c r="M43" s="144">
        <f>35615.53</f>
        <v>35615.53</v>
      </c>
      <c r="N43" s="115">
        <f t="shared" si="3"/>
        <v>31341.666399999998</v>
      </c>
      <c r="O43" s="134"/>
      <c r="P43" s="134" t="s">
        <v>42</v>
      </c>
      <c r="Q43" s="115" t="s">
        <v>336</v>
      </c>
      <c r="R43" s="145">
        <v>34351</v>
      </c>
      <c r="S43" s="146">
        <v>45505</v>
      </c>
      <c r="T43" s="145">
        <v>28274</v>
      </c>
      <c r="U43" s="145">
        <v>43158</v>
      </c>
      <c r="V43" s="116"/>
      <c r="W43" s="116"/>
      <c r="X43" s="116"/>
      <c r="Y43" s="116"/>
      <c r="Z43" s="52"/>
      <c r="AA43" s="52"/>
      <c r="AB43" s="52"/>
      <c r="AC43" s="117"/>
      <c r="AD43" s="118" t="s">
        <v>1032</v>
      </c>
      <c r="AE43" s="119" t="s">
        <v>36</v>
      </c>
      <c r="AF43" s="135" t="s">
        <v>37</v>
      </c>
      <c r="AH43" s="118"/>
      <c r="AI43" s="118"/>
      <c r="AJ43" s="118"/>
      <c r="AL43" s="118"/>
      <c r="AM43" s="118"/>
      <c r="AN43" s="118"/>
    </row>
    <row r="44" spans="1:40" s="93" customFormat="1" ht="50.1" customHeight="1" x14ac:dyDescent="0.25">
      <c r="A44" s="110">
        <v>26</v>
      </c>
      <c r="B44" s="139"/>
      <c r="C44" s="140" t="s">
        <v>56</v>
      </c>
      <c r="D44" s="140" t="s">
        <v>2561</v>
      </c>
      <c r="E44" s="141" t="s">
        <v>2562</v>
      </c>
      <c r="F44" s="142" t="str">
        <f t="shared" si="8"/>
        <v>35 años 0 meses 1 días</v>
      </c>
      <c r="G44" s="143">
        <v>1</v>
      </c>
      <c r="H44" s="110" t="str">
        <f t="shared" si="6"/>
        <v>55 años 7 meses 22 días</v>
      </c>
      <c r="I44" s="110" t="str">
        <f t="shared" si="7"/>
        <v>8 años 5 meses 0 días</v>
      </c>
      <c r="J44" s="195"/>
      <c r="K44" s="196"/>
      <c r="L44" s="197"/>
      <c r="M44" s="144">
        <f>35615.53+12000</f>
        <v>47615.53</v>
      </c>
      <c r="N44" s="115">
        <f t="shared" si="3"/>
        <v>47615.53</v>
      </c>
      <c r="O44" s="134"/>
      <c r="P44" s="134" t="s">
        <v>42</v>
      </c>
      <c r="Q44" s="115" t="s">
        <v>336</v>
      </c>
      <c r="R44" s="145">
        <v>32964</v>
      </c>
      <c r="S44" s="146">
        <v>45505</v>
      </c>
      <c r="T44" s="145">
        <v>25182</v>
      </c>
      <c r="U44" s="145">
        <v>42430</v>
      </c>
      <c r="V44" s="116">
        <v>32356</v>
      </c>
      <c r="W44" s="116">
        <v>32600</v>
      </c>
      <c r="X44" s="116"/>
      <c r="Y44" s="116"/>
      <c r="Z44" s="52"/>
      <c r="AA44" s="52"/>
      <c r="AB44" s="52"/>
      <c r="AC44" s="117"/>
      <c r="AD44" s="118" t="s">
        <v>293</v>
      </c>
      <c r="AE44" s="119" t="s">
        <v>36</v>
      </c>
      <c r="AF44" s="135" t="s">
        <v>2563</v>
      </c>
      <c r="AH44" s="118">
        <v>1</v>
      </c>
      <c r="AI44" s="118"/>
      <c r="AJ44" s="118"/>
      <c r="AL44" s="118"/>
      <c r="AM44" s="118">
        <v>12</v>
      </c>
      <c r="AN44" s="118"/>
    </row>
    <row r="45" spans="1:40" s="93" customFormat="1" ht="50.1" customHeight="1" x14ac:dyDescent="0.25">
      <c r="A45" s="110">
        <v>27</v>
      </c>
      <c r="B45" s="139"/>
      <c r="C45" s="140" t="s">
        <v>56</v>
      </c>
      <c r="D45" s="140" t="s">
        <v>2564</v>
      </c>
      <c r="E45" s="141" t="s">
        <v>2565</v>
      </c>
      <c r="F45" s="142" t="str">
        <f t="shared" si="8"/>
        <v>35 años 1 meses 2 días</v>
      </c>
      <c r="G45" s="143">
        <v>1</v>
      </c>
      <c r="H45" s="110" t="str">
        <f t="shared" si="6"/>
        <v>54 años 5 meses 20 días</v>
      </c>
      <c r="I45" s="110" t="str">
        <f t="shared" si="7"/>
        <v>4 años 5 meses 5 días</v>
      </c>
      <c r="J45" s="195"/>
      <c r="K45" s="196"/>
      <c r="L45" s="197"/>
      <c r="M45" s="144">
        <f>34575.78</f>
        <v>34575.78</v>
      </c>
      <c r="N45" s="115">
        <f t="shared" si="3"/>
        <v>34575.78</v>
      </c>
      <c r="O45" s="134"/>
      <c r="P45" s="134" t="s">
        <v>42</v>
      </c>
      <c r="Q45" s="115" t="s">
        <v>336</v>
      </c>
      <c r="R45" s="145">
        <v>32689</v>
      </c>
      <c r="S45" s="146">
        <v>45505</v>
      </c>
      <c r="T45" s="145">
        <v>25611</v>
      </c>
      <c r="U45" s="145">
        <v>43888</v>
      </c>
      <c r="V45" s="116"/>
      <c r="W45" s="116"/>
      <c r="X45" s="116"/>
      <c r="Y45" s="116"/>
      <c r="Z45" s="52"/>
      <c r="AA45" s="52"/>
      <c r="AB45" s="52"/>
      <c r="AC45" s="117"/>
      <c r="AD45" s="118" t="s">
        <v>1032</v>
      </c>
      <c r="AE45" s="119" t="s">
        <v>36</v>
      </c>
      <c r="AF45" s="135" t="s">
        <v>2563</v>
      </c>
      <c r="AH45" s="118"/>
      <c r="AI45" s="118"/>
      <c r="AJ45" s="118"/>
      <c r="AL45" s="118"/>
      <c r="AM45" s="118"/>
      <c r="AN45" s="118"/>
    </row>
    <row r="46" spans="1:40" s="93" customFormat="1" ht="50.1" customHeight="1" x14ac:dyDescent="0.25">
      <c r="A46" s="110">
        <v>28</v>
      </c>
      <c r="B46" s="139"/>
      <c r="C46" s="140" t="s">
        <v>56</v>
      </c>
      <c r="D46" s="140" t="s">
        <v>2566</v>
      </c>
      <c r="E46" s="141" t="s">
        <v>2567</v>
      </c>
      <c r="F46" s="142" t="str">
        <f t="shared" si="8"/>
        <v>28 años 11 meses 23 días</v>
      </c>
      <c r="G46" s="143">
        <v>0.82499999999999996</v>
      </c>
      <c r="H46" s="110" t="str">
        <f t="shared" si="6"/>
        <v>53 años 6 meses 26 días</v>
      </c>
      <c r="I46" s="110" t="str">
        <f t="shared" si="7"/>
        <v>6 años 5 meses 5 días</v>
      </c>
      <c r="J46" s="195"/>
      <c r="K46" s="196"/>
      <c r="L46" s="197"/>
      <c r="M46" s="144">
        <f>35615.53</f>
        <v>35615.53</v>
      </c>
      <c r="N46" s="115">
        <f t="shared" si="3"/>
        <v>29382.812249999999</v>
      </c>
      <c r="O46" s="134"/>
      <c r="P46" s="134" t="s">
        <v>42</v>
      </c>
      <c r="Q46" s="115" t="s">
        <v>336</v>
      </c>
      <c r="R46" s="145">
        <v>35735</v>
      </c>
      <c r="S46" s="146">
        <v>45505</v>
      </c>
      <c r="T46" s="145">
        <v>25939</v>
      </c>
      <c r="U46" s="145">
        <v>43158</v>
      </c>
      <c r="V46" s="116">
        <v>34372</v>
      </c>
      <c r="W46" s="116">
        <v>35185</v>
      </c>
      <c r="X46" s="116"/>
      <c r="Y46" s="116"/>
      <c r="Z46" s="52"/>
      <c r="AA46" s="52"/>
      <c r="AB46" s="52"/>
      <c r="AC46" s="117"/>
      <c r="AD46" s="118" t="s">
        <v>1032</v>
      </c>
      <c r="AE46" s="119" t="s">
        <v>36</v>
      </c>
      <c r="AF46" s="135" t="s">
        <v>2563</v>
      </c>
      <c r="AH46" s="118"/>
      <c r="AI46" s="118"/>
      <c r="AJ46" s="118"/>
      <c r="AL46" s="118"/>
      <c r="AM46" s="118"/>
      <c r="AN46" s="118"/>
    </row>
    <row r="47" spans="1:40" s="93" customFormat="1" ht="50.1" customHeight="1" x14ac:dyDescent="0.25">
      <c r="A47" s="110">
        <v>29</v>
      </c>
      <c r="B47" s="139"/>
      <c r="C47" s="140" t="s">
        <v>56</v>
      </c>
      <c r="D47" s="140" t="s">
        <v>2568</v>
      </c>
      <c r="E47" s="141" t="s">
        <v>2569</v>
      </c>
      <c r="F47" s="142" t="str">
        <f t="shared" si="8"/>
        <v>35 años 0 meses 0 días</v>
      </c>
      <c r="G47" s="143">
        <v>1</v>
      </c>
      <c r="H47" s="110" t="str">
        <f t="shared" si="6"/>
        <v>57 años 1 meses 0 días</v>
      </c>
      <c r="I47" s="110" t="str">
        <f t="shared" si="7"/>
        <v>6 años 5 meses 5 días</v>
      </c>
      <c r="J47" s="195"/>
      <c r="K47" s="196"/>
      <c r="L47" s="197"/>
      <c r="M47" s="144">
        <f>35615.53</f>
        <v>35615.53</v>
      </c>
      <c r="N47" s="115">
        <f t="shared" si="3"/>
        <v>35615.53</v>
      </c>
      <c r="O47" s="134"/>
      <c r="P47" s="134" t="s">
        <v>42</v>
      </c>
      <c r="Q47" s="115" t="s">
        <v>336</v>
      </c>
      <c r="R47" s="145">
        <v>32721</v>
      </c>
      <c r="S47" s="146">
        <v>45505</v>
      </c>
      <c r="T47" s="145">
        <v>24654</v>
      </c>
      <c r="U47" s="145">
        <v>43158</v>
      </c>
      <c r="V47" s="116"/>
      <c r="W47" s="116"/>
      <c r="X47" s="116"/>
      <c r="Y47" s="116"/>
      <c r="Z47" s="52"/>
      <c r="AA47" s="52"/>
      <c r="AB47" s="52"/>
      <c r="AC47" s="117"/>
      <c r="AD47" s="118" t="s">
        <v>1032</v>
      </c>
      <c r="AE47" s="119" t="s">
        <v>36</v>
      </c>
      <c r="AF47" s="135" t="s">
        <v>2563</v>
      </c>
      <c r="AH47" s="118"/>
      <c r="AI47" s="118"/>
      <c r="AJ47" s="118"/>
      <c r="AL47" s="118"/>
      <c r="AM47" s="118"/>
      <c r="AN47" s="118"/>
    </row>
    <row r="48" spans="1:40" s="93" customFormat="1" ht="50.1" customHeight="1" x14ac:dyDescent="0.25">
      <c r="A48" s="110">
        <v>30</v>
      </c>
      <c r="B48" s="139"/>
      <c r="C48" s="140" t="s">
        <v>56</v>
      </c>
      <c r="D48" s="140" t="s">
        <v>2570</v>
      </c>
      <c r="E48" s="141" t="s">
        <v>2571</v>
      </c>
      <c r="F48" s="142" t="str">
        <f t="shared" si="8"/>
        <v>35 años 5 meses 12 días</v>
      </c>
      <c r="G48" s="143">
        <v>1</v>
      </c>
      <c r="H48" s="110" t="str">
        <f t="shared" si="6"/>
        <v>52 años 5 meses 30 días</v>
      </c>
      <c r="I48" s="110" t="str">
        <f t="shared" si="7"/>
        <v>12 años 5 meses 0 días</v>
      </c>
      <c r="J48" s="195" t="s">
        <v>13</v>
      </c>
      <c r="K48" s="196"/>
      <c r="L48" s="197"/>
      <c r="M48" s="144">
        <f>35615.53</f>
        <v>35615.53</v>
      </c>
      <c r="N48" s="115">
        <f t="shared" si="3"/>
        <v>35615.53</v>
      </c>
      <c r="O48" s="134"/>
      <c r="P48" s="134" t="s">
        <v>42</v>
      </c>
      <c r="Q48" s="115" t="s">
        <v>336</v>
      </c>
      <c r="R48" s="145">
        <v>32559</v>
      </c>
      <c r="S48" s="146">
        <v>45505</v>
      </c>
      <c r="T48" s="145">
        <v>26331</v>
      </c>
      <c r="U48" s="145">
        <v>40969</v>
      </c>
      <c r="V48" s="116"/>
      <c r="W48" s="116"/>
      <c r="X48" s="116"/>
      <c r="Y48" s="116"/>
      <c r="Z48" s="52"/>
      <c r="AA48" s="52"/>
      <c r="AB48" s="52"/>
      <c r="AC48" s="117"/>
      <c r="AD48" s="118" t="s">
        <v>1032</v>
      </c>
      <c r="AE48" s="119" t="s">
        <v>36</v>
      </c>
      <c r="AF48" s="135" t="s">
        <v>2563</v>
      </c>
      <c r="AH48" s="118"/>
      <c r="AI48" s="118"/>
      <c r="AJ48" s="118"/>
      <c r="AL48" s="118"/>
      <c r="AM48" s="118"/>
      <c r="AN48" s="118"/>
    </row>
    <row r="49" spans="1:40" s="93" customFormat="1" ht="50.1" customHeight="1" x14ac:dyDescent="0.25">
      <c r="A49" s="110">
        <v>31</v>
      </c>
      <c r="B49" s="139"/>
      <c r="C49" s="140" t="s">
        <v>56</v>
      </c>
      <c r="D49" s="140" t="s">
        <v>2572</v>
      </c>
      <c r="E49" s="141" t="s">
        <v>2573</v>
      </c>
      <c r="F49" s="142" t="str">
        <f t="shared" si="8"/>
        <v>33 años 4 meses 0 días</v>
      </c>
      <c r="G49" s="143">
        <v>0.94</v>
      </c>
      <c r="H49" s="110" t="str">
        <f t="shared" si="6"/>
        <v>56 años 3 meses 27 días</v>
      </c>
      <c r="I49" s="110" t="str">
        <f t="shared" si="7"/>
        <v>10 años 10 meses 24 días</v>
      </c>
      <c r="J49" s="195" t="s">
        <v>13</v>
      </c>
      <c r="K49" s="196"/>
      <c r="L49" s="197"/>
      <c r="M49" s="144">
        <f>35615.52</f>
        <v>35615.519999999997</v>
      </c>
      <c r="N49" s="115">
        <f t="shared" si="3"/>
        <v>33478.588799999998</v>
      </c>
      <c r="O49" s="134"/>
      <c r="P49" s="134" t="s">
        <v>42</v>
      </c>
      <c r="Q49" s="115" t="s">
        <v>336</v>
      </c>
      <c r="R49" s="145">
        <v>33329</v>
      </c>
      <c r="S49" s="146">
        <v>45505</v>
      </c>
      <c r="T49" s="145">
        <v>24933</v>
      </c>
      <c r="U49" s="145">
        <v>41525</v>
      </c>
      <c r="V49" s="116"/>
      <c r="W49" s="116"/>
      <c r="X49" s="116"/>
      <c r="Y49" s="116"/>
      <c r="Z49" s="52"/>
      <c r="AA49" s="52"/>
      <c r="AB49" s="52"/>
      <c r="AC49" s="117"/>
      <c r="AD49" s="118" t="s">
        <v>134</v>
      </c>
      <c r="AE49" s="119" t="s">
        <v>36</v>
      </c>
      <c r="AF49" s="135" t="s">
        <v>2563</v>
      </c>
      <c r="AH49" s="118"/>
      <c r="AI49" s="118"/>
      <c r="AJ49" s="118"/>
      <c r="AL49" s="118"/>
      <c r="AM49" s="118"/>
      <c r="AN49" s="118"/>
    </row>
    <row r="50" spans="1:40" s="93" customFormat="1" ht="50.1" customHeight="1" x14ac:dyDescent="0.25">
      <c r="A50" s="110">
        <v>32</v>
      </c>
      <c r="B50" s="139"/>
      <c r="C50" s="140" t="s">
        <v>56</v>
      </c>
      <c r="D50" s="140" t="s">
        <v>2574</v>
      </c>
      <c r="E50" s="141" t="s">
        <v>2575</v>
      </c>
      <c r="F50" s="142" t="str">
        <f t="shared" si="8"/>
        <v>30 años 6 meses 9 días</v>
      </c>
      <c r="G50" s="143">
        <v>0.88</v>
      </c>
      <c r="H50" s="110" t="str">
        <f t="shared" si="6"/>
        <v>52 años 5 meses 15 días</v>
      </c>
      <c r="I50" s="110" t="str">
        <f t="shared" si="7"/>
        <v>4 años 5 meses 5 días</v>
      </c>
      <c r="J50" s="195"/>
      <c r="K50" s="196"/>
      <c r="L50" s="197"/>
      <c r="M50" s="144">
        <f>34575.77+8000</f>
        <v>42575.77</v>
      </c>
      <c r="N50" s="115">
        <f t="shared" si="3"/>
        <v>37466.677599999995</v>
      </c>
      <c r="O50" s="134"/>
      <c r="P50" s="134" t="s">
        <v>42</v>
      </c>
      <c r="Q50" s="115" t="s">
        <v>336</v>
      </c>
      <c r="R50" s="145">
        <v>35704</v>
      </c>
      <c r="S50" s="146">
        <v>45505</v>
      </c>
      <c r="T50" s="145">
        <v>26346</v>
      </c>
      <c r="U50" s="145">
        <v>43888</v>
      </c>
      <c r="V50" s="116">
        <v>34348</v>
      </c>
      <c r="W50" s="116">
        <v>35696</v>
      </c>
      <c r="X50" s="116"/>
      <c r="Y50" s="116"/>
      <c r="Z50" s="52"/>
      <c r="AA50" s="52"/>
      <c r="AB50" s="52"/>
      <c r="AC50" s="117"/>
      <c r="AD50" s="118" t="s">
        <v>35</v>
      </c>
      <c r="AE50" s="119" t="s">
        <v>36</v>
      </c>
      <c r="AF50" s="135" t="s">
        <v>2563</v>
      </c>
      <c r="AH50" s="118">
        <v>1</v>
      </c>
      <c r="AI50" s="118"/>
      <c r="AJ50" s="118"/>
      <c r="AL50" s="118"/>
      <c r="AM50" s="118">
        <v>12</v>
      </c>
      <c r="AN50" s="118"/>
    </row>
    <row r="51" spans="1:40" s="93" customFormat="1" ht="50.1" customHeight="1" x14ac:dyDescent="0.25">
      <c r="A51" s="110">
        <v>33</v>
      </c>
      <c r="B51" s="139"/>
      <c r="C51" s="140" t="s">
        <v>56</v>
      </c>
      <c r="D51" s="140" t="s">
        <v>2576</v>
      </c>
      <c r="E51" s="141" t="s">
        <v>2577</v>
      </c>
      <c r="F51" s="142" t="str">
        <f t="shared" si="8"/>
        <v>32 años 0 meses 0 días</v>
      </c>
      <c r="G51" s="143">
        <v>0.91</v>
      </c>
      <c r="H51" s="110" t="str">
        <f t="shared" si="6"/>
        <v>57 años 1 meses 12 días</v>
      </c>
      <c r="I51" s="110" t="str">
        <f t="shared" si="7"/>
        <v>6 años 5 meses 5 días</v>
      </c>
      <c r="J51" s="195"/>
      <c r="K51" s="196"/>
      <c r="L51" s="197"/>
      <c r="M51" s="144">
        <f>35615.53</f>
        <v>35615.53</v>
      </c>
      <c r="N51" s="115">
        <f t="shared" si="3"/>
        <v>32410.132300000001</v>
      </c>
      <c r="O51" s="134"/>
      <c r="P51" s="134" t="s">
        <v>42</v>
      </c>
      <c r="Q51" s="115" t="s">
        <v>336</v>
      </c>
      <c r="R51" s="145">
        <v>33817</v>
      </c>
      <c r="S51" s="146">
        <v>45505</v>
      </c>
      <c r="T51" s="145">
        <v>24643</v>
      </c>
      <c r="U51" s="145">
        <v>43158</v>
      </c>
      <c r="V51" s="116"/>
      <c r="W51" s="116"/>
      <c r="X51" s="116"/>
      <c r="Y51" s="116"/>
      <c r="Z51" s="52"/>
      <c r="AA51" s="52"/>
      <c r="AB51" s="52"/>
      <c r="AC51" s="117"/>
      <c r="AD51" s="118" t="s">
        <v>1032</v>
      </c>
      <c r="AE51" s="119" t="s">
        <v>36</v>
      </c>
      <c r="AF51" s="135" t="s">
        <v>2563</v>
      </c>
      <c r="AH51" s="118"/>
      <c r="AI51" s="118"/>
      <c r="AJ51" s="118"/>
      <c r="AL51" s="118"/>
      <c r="AM51" s="118"/>
      <c r="AN51" s="118"/>
    </row>
    <row r="52" spans="1:40" s="93" customFormat="1" ht="50.1" customHeight="1" x14ac:dyDescent="0.25">
      <c r="A52" s="110">
        <v>34</v>
      </c>
      <c r="B52" s="139"/>
      <c r="C52" s="140" t="s">
        <v>56</v>
      </c>
      <c r="D52" s="140" t="s">
        <v>2578</v>
      </c>
      <c r="E52" s="141" t="s">
        <v>2579</v>
      </c>
      <c r="F52" s="142" t="str">
        <f t="shared" si="8"/>
        <v>35 años 1 meses 2 días</v>
      </c>
      <c r="G52" s="143">
        <v>1</v>
      </c>
      <c r="H52" s="110" t="str">
        <f t="shared" si="6"/>
        <v>53 años 4 meses 4 días</v>
      </c>
      <c r="I52" s="110" t="str">
        <f t="shared" si="7"/>
        <v>12 años 5 meses 0 días</v>
      </c>
      <c r="J52" s="195" t="s">
        <v>13</v>
      </c>
      <c r="K52" s="196"/>
      <c r="L52" s="197"/>
      <c r="M52" s="144">
        <f>35615.53</f>
        <v>35615.53</v>
      </c>
      <c r="N52" s="115">
        <f t="shared" si="3"/>
        <v>35615.53</v>
      </c>
      <c r="O52" s="134"/>
      <c r="P52" s="134" t="s">
        <v>42</v>
      </c>
      <c r="Q52" s="115" t="s">
        <v>336</v>
      </c>
      <c r="R52" s="145">
        <v>32689</v>
      </c>
      <c r="S52" s="146">
        <v>45505</v>
      </c>
      <c r="T52" s="145">
        <v>26020</v>
      </c>
      <c r="U52" s="145">
        <v>40969</v>
      </c>
      <c r="V52" s="116"/>
      <c r="W52" s="116"/>
      <c r="X52" s="116"/>
      <c r="Y52" s="116"/>
      <c r="Z52" s="52"/>
      <c r="AA52" s="52"/>
      <c r="AB52" s="52"/>
      <c r="AC52" s="117"/>
      <c r="AD52" s="118" t="s">
        <v>35</v>
      </c>
      <c r="AE52" s="119" t="s">
        <v>36</v>
      </c>
      <c r="AF52" s="135" t="s">
        <v>37</v>
      </c>
      <c r="AH52" s="118"/>
      <c r="AI52" s="118"/>
      <c r="AJ52" s="118"/>
      <c r="AL52" s="118"/>
      <c r="AM52" s="118"/>
      <c r="AN52" s="118"/>
    </row>
    <row r="53" spans="1:40" s="93" customFormat="1" ht="50.1" customHeight="1" x14ac:dyDescent="0.25">
      <c r="A53" s="110">
        <v>35</v>
      </c>
      <c r="B53" s="139"/>
      <c r="C53" s="140" t="s">
        <v>56</v>
      </c>
      <c r="D53" s="140" t="s">
        <v>2580</v>
      </c>
      <c r="E53" s="141" t="s">
        <v>2581</v>
      </c>
      <c r="F53" s="142" t="str">
        <f t="shared" si="8"/>
        <v>29 años 11 meses 0 días</v>
      </c>
      <c r="G53" s="143">
        <v>0.85</v>
      </c>
      <c r="H53" s="110" t="str">
        <f t="shared" si="6"/>
        <v>53 años 2 meses 27 días</v>
      </c>
      <c r="I53" s="110" t="str">
        <f t="shared" si="7"/>
        <v>2 años 5 meses 5 días</v>
      </c>
      <c r="J53" s="195"/>
      <c r="K53" s="196"/>
      <c r="L53" s="197"/>
      <c r="M53" s="144">
        <f>34575.78+8000</f>
        <v>42575.78</v>
      </c>
      <c r="N53" s="115">
        <f t="shared" si="3"/>
        <v>36189.413</v>
      </c>
      <c r="O53" s="134"/>
      <c r="P53" s="134" t="s">
        <v>42</v>
      </c>
      <c r="Q53" s="115" t="s">
        <v>336</v>
      </c>
      <c r="R53" s="145">
        <v>34578</v>
      </c>
      <c r="S53" s="146">
        <v>45505</v>
      </c>
      <c r="T53" s="145">
        <v>26058</v>
      </c>
      <c r="U53" s="145">
        <v>44619</v>
      </c>
      <c r="V53" s="116"/>
      <c r="W53" s="116"/>
      <c r="X53" s="116"/>
      <c r="Y53" s="116"/>
      <c r="Z53" s="52"/>
      <c r="AA53" s="52"/>
      <c r="AB53" s="52"/>
      <c r="AC53" s="117"/>
      <c r="AD53" s="118" t="s">
        <v>134</v>
      </c>
      <c r="AE53" s="119" t="s">
        <v>36</v>
      </c>
      <c r="AF53" s="135" t="s">
        <v>37</v>
      </c>
      <c r="AH53" s="118"/>
      <c r="AI53" s="118"/>
      <c r="AJ53" s="118"/>
      <c r="AL53" s="118"/>
      <c r="AM53" s="118"/>
      <c r="AN53" s="118"/>
    </row>
    <row r="54" spans="1:40" s="93" customFormat="1" ht="50.1" customHeight="1" x14ac:dyDescent="0.25">
      <c r="A54" s="110">
        <v>36</v>
      </c>
      <c r="B54" s="139"/>
      <c r="C54" s="140" t="s">
        <v>56</v>
      </c>
      <c r="D54" s="140" t="s">
        <v>2582</v>
      </c>
      <c r="E54" s="141" t="s">
        <v>2583</v>
      </c>
      <c r="F54" s="142" t="str">
        <f t="shared" si="8"/>
        <v>32 años 6 meses 4 días</v>
      </c>
      <c r="G54" s="143">
        <v>0.94</v>
      </c>
      <c r="H54" s="110" t="str">
        <f t="shared" si="6"/>
        <v>61 años 0 meses 4 días</v>
      </c>
      <c r="I54" s="110" t="str">
        <f t="shared" si="7"/>
        <v>2 años 5 meses 5 días</v>
      </c>
      <c r="J54" s="195"/>
      <c r="K54" s="196"/>
      <c r="L54" s="197"/>
      <c r="M54" s="144">
        <f>34575.78</f>
        <v>34575.78</v>
      </c>
      <c r="N54" s="115">
        <f t="shared" si="3"/>
        <v>32501.233199999999</v>
      </c>
      <c r="O54" s="134"/>
      <c r="P54" s="134" t="s">
        <v>42</v>
      </c>
      <c r="Q54" s="115" t="s">
        <v>336</v>
      </c>
      <c r="R54" s="145">
        <v>36192</v>
      </c>
      <c r="S54" s="146">
        <v>45505</v>
      </c>
      <c r="T54" s="145">
        <v>23220</v>
      </c>
      <c r="U54" s="145">
        <v>44619</v>
      </c>
      <c r="V54" s="116">
        <v>33604</v>
      </c>
      <c r="W54" s="116">
        <v>36165</v>
      </c>
      <c r="X54" s="116"/>
      <c r="Y54" s="116"/>
      <c r="Z54" s="52"/>
      <c r="AA54" s="52"/>
      <c r="AB54" s="52"/>
      <c r="AC54" s="117"/>
      <c r="AD54" s="118" t="s">
        <v>35</v>
      </c>
      <c r="AE54" s="119" t="s">
        <v>36</v>
      </c>
      <c r="AF54" s="135" t="s">
        <v>37</v>
      </c>
      <c r="AH54" s="118"/>
      <c r="AI54" s="118"/>
      <c r="AJ54" s="118"/>
      <c r="AL54" s="118"/>
      <c r="AM54" s="118"/>
      <c r="AN54" s="118"/>
    </row>
    <row r="55" spans="1:40" s="93" customFormat="1" ht="50.1" customHeight="1" x14ac:dyDescent="0.25">
      <c r="A55" s="110">
        <v>37</v>
      </c>
      <c r="B55" s="139"/>
      <c r="C55" s="140" t="s">
        <v>56</v>
      </c>
      <c r="D55" s="140" t="s">
        <v>2584</v>
      </c>
      <c r="E55" s="141" t="s">
        <v>2585</v>
      </c>
      <c r="F55" s="142" t="str">
        <f t="shared" si="8"/>
        <v>28 años 9 meses 0 días</v>
      </c>
      <c r="G55" s="143">
        <v>0.82499999999999996</v>
      </c>
      <c r="H55" s="110" t="str">
        <f t="shared" si="6"/>
        <v>56 años 10 meses 12 días</v>
      </c>
      <c r="I55" s="110" t="str">
        <f t="shared" si="7"/>
        <v>2 años 5 meses 5 días</v>
      </c>
      <c r="J55" s="195"/>
      <c r="K55" s="196"/>
      <c r="L55" s="197"/>
      <c r="M55" s="144">
        <f>34575.77</f>
        <v>34575.769999999997</v>
      </c>
      <c r="N55" s="115">
        <f t="shared" si="3"/>
        <v>28525.010249999996</v>
      </c>
      <c r="O55" s="134"/>
      <c r="P55" s="134" t="s">
        <v>42</v>
      </c>
      <c r="Q55" s="115" t="s">
        <v>336</v>
      </c>
      <c r="R55" s="145">
        <v>35004</v>
      </c>
      <c r="S55" s="146">
        <v>45505</v>
      </c>
      <c r="T55" s="145">
        <v>24735</v>
      </c>
      <c r="U55" s="145">
        <v>44619</v>
      </c>
      <c r="V55" s="116"/>
      <c r="W55" s="116"/>
      <c r="X55" s="116"/>
      <c r="Y55" s="116"/>
      <c r="Z55" s="52"/>
      <c r="AA55" s="52"/>
      <c r="AB55" s="52"/>
      <c r="AC55" s="117"/>
      <c r="AD55" s="118" t="s">
        <v>134</v>
      </c>
      <c r="AE55" s="119" t="s">
        <v>36</v>
      </c>
      <c r="AF55" s="135" t="s">
        <v>37</v>
      </c>
      <c r="AH55" s="118"/>
      <c r="AI55" s="118"/>
      <c r="AJ55" s="118"/>
      <c r="AL55" s="118"/>
      <c r="AM55" s="118"/>
      <c r="AN55" s="118"/>
    </row>
    <row r="56" spans="1:40" s="93" customFormat="1" ht="50.1" customHeight="1" x14ac:dyDescent="0.25">
      <c r="A56" s="110">
        <v>38</v>
      </c>
      <c r="B56" s="139"/>
      <c r="C56" s="140" t="s">
        <v>56</v>
      </c>
      <c r="D56" s="140" t="s">
        <v>2586</v>
      </c>
      <c r="E56" s="141" t="s">
        <v>2587</v>
      </c>
      <c r="F56" s="142" t="str">
        <f t="shared" si="8"/>
        <v>27 años 5 meses 12 días</v>
      </c>
      <c r="G56" s="143">
        <v>0.77500000000000002</v>
      </c>
      <c r="H56" s="110" t="str">
        <f t="shared" si="6"/>
        <v>54 años 7 meses 0 días</v>
      </c>
      <c r="I56" s="110" t="str">
        <f t="shared" si="7"/>
        <v>3 años 5 meses 5 días</v>
      </c>
      <c r="J56" s="195"/>
      <c r="K56" s="196"/>
      <c r="L56" s="197"/>
      <c r="M56" s="144">
        <f>34575.77</f>
        <v>34575.769999999997</v>
      </c>
      <c r="N56" s="115">
        <f t="shared" si="3"/>
        <v>26796.221749999997</v>
      </c>
      <c r="O56" s="134"/>
      <c r="P56" s="134" t="s">
        <v>42</v>
      </c>
      <c r="Q56" s="115" t="s">
        <v>336</v>
      </c>
      <c r="R56" s="145">
        <v>36942</v>
      </c>
      <c r="S56" s="146">
        <v>45505</v>
      </c>
      <c r="T56" s="145">
        <v>25569</v>
      </c>
      <c r="U56" s="145">
        <v>44254</v>
      </c>
      <c r="V56" s="116">
        <v>35278</v>
      </c>
      <c r="W56" s="116">
        <v>36739</v>
      </c>
      <c r="X56" s="116"/>
      <c r="Y56" s="116"/>
      <c r="Z56" s="52"/>
      <c r="AA56" s="52"/>
      <c r="AB56" s="52"/>
      <c r="AC56" s="117"/>
      <c r="AD56" s="118" t="s">
        <v>35</v>
      </c>
      <c r="AE56" s="119" t="s">
        <v>36</v>
      </c>
      <c r="AF56" s="135" t="s">
        <v>37</v>
      </c>
      <c r="AH56" s="118"/>
      <c r="AI56" s="118"/>
      <c r="AJ56" s="118"/>
      <c r="AL56" s="118"/>
      <c r="AM56" s="118"/>
      <c r="AN56" s="118"/>
    </row>
    <row r="57" spans="1:40" s="93" customFormat="1" ht="50.1" customHeight="1" x14ac:dyDescent="0.25">
      <c r="A57" s="110">
        <v>39</v>
      </c>
      <c r="B57" s="139"/>
      <c r="C57" s="140" t="s">
        <v>56</v>
      </c>
      <c r="D57" s="140" t="s">
        <v>2588</v>
      </c>
      <c r="E57" s="141" t="s">
        <v>2589</v>
      </c>
      <c r="F57" s="142" t="str">
        <f t="shared" si="8"/>
        <v>35 años 6 meses 22 días</v>
      </c>
      <c r="G57" s="143">
        <v>1</v>
      </c>
      <c r="H57" s="110" t="str">
        <f t="shared" si="6"/>
        <v>54 años 3 meses 7 días</v>
      </c>
      <c r="I57" s="110" t="str">
        <f t="shared" si="7"/>
        <v>8 años 5 meses 0 días</v>
      </c>
      <c r="J57" s="195"/>
      <c r="K57" s="196"/>
      <c r="L57" s="197"/>
      <c r="M57" s="144">
        <f>35615.53</f>
        <v>35615.53</v>
      </c>
      <c r="N57" s="115">
        <f t="shared" si="3"/>
        <v>35615.53</v>
      </c>
      <c r="O57" s="134"/>
      <c r="P57" s="134" t="s">
        <v>42</v>
      </c>
      <c r="Q57" s="115" t="s">
        <v>336</v>
      </c>
      <c r="R57" s="145">
        <v>32518</v>
      </c>
      <c r="S57" s="146">
        <v>45505</v>
      </c>
      <c r="T57" s="145">
        <v>25683</v>
      </c>
      <c r="U57" s="145">
        <v>42430</v>
      </c>
      <c r="V57" s="116"/>
      <c r="W57" s="116"/>
      <c r="X57" s="116"/>
      <c r="Y57" s="116"/>
      <c r="Z57" s="52"/>
      <c r="AA57" s="52"/>
      <c r="AB57" s="52"/>
      <c r="AC57" s="117"/>
      <c r="AD57" s="118" t="s">
        <v>134</v>
      </c>
      <c r="AE57" s="119" t="s">
        <v>36</v>
      </c>
      <c r="AF57" s="135" t="s">
        <v>37</v>
      </c>
      <c r="AH57" s="118"/>
      <c r="AI57" s="118"/>
      <c r="AJ57" s="118"/>
      <c r="AL57" s="118"/>
      <c r="AM57" s="118"/>
      <c r="AN57" s="118"/>
    </row>
    <row r="58" spans="1:40" s="93" customFormat="1" ht="50.1" customHeight="1" x14ac:dyDescent="0.25">
      <c r="A58" s="110">
        <v>40</v>
      </c>
      <c r="B58" s="139"/>
      <c r="C58" s="140" t="s">
        <v>56</v>
      </c>
      <c r="D58" s="140" t="s">
        <v>2590</v>
      </c>
      <c r="E58" s="141" t="s">
        <v>2591</v>
      </c>
      <c r="F58" s="142" t="str">
        <f t="shared" si="8"/>
        <v>23 años 10 meses 0 días</v>
      </c>
      <c r="G58" s="143">
        <v>0.7</v>
      </c>
      <c r="H58" s="110" t="str">
        <f t="shared" si="6"/>
        <v>45 años 1 meses 0 días</v>
      </c>
      <c r="I58" s="110" t="str">
        <f t="shared" si="7"/>
        <v>6 años 5 meses 5 días</v>
      </c>
      <c r="J58" s="195"/>
      <c r="K58" s="196"/>
      <c r="L58" s="197"/>
      <c r="M58" s="144">
        <f>35615.53</f>
        <v>35615.53</v>
      </c>
      <c r="N58" s="115">
        <f t="shared" si="3"/>
        <v>24930.870999999999</v>
      </c>
      <c r="O58" s="134"/>
      <c r="P58" s="134" t="s">
        <v>42</v>
      </c>
      <c r="Q58" s="115" t="s">
        <v>336</v>
      </c>
      <c r="R58" s="145">
        <v>36800</v>
      </c>
      <c r="S58" s="146">
        <v>45505</v>
      </c>
      <c r="T58" s="145">
        <v>29037</v>
      </c>
      <c r="U58" s="145">
        <v>43158</v>
      </c>
      <c r="V58" s="116"/>
      <c r="W58" s="116"/>
      <c r="X58" s="116"/>
      <c r="Y58" s="116"/>
      <c r="Z58" s="52"/>
      <c r="AA58" s="52"/>
      <c r="AB58" s="52"/>
      <c r="AC58" s="117"/>
      <c r="AD58" s="118" t="s">
        <v>268</v>
      </c>
      <c r="AE58" s="119" t="s">
        <v>36</v>
      </c>
      <c r="AF58" s="135" t="s">
        <v>37</v>
      </c>
      <c r="AH58" s="118"/>
      <c r="AI58" s="118"/>
      <c r="AJ58" s="118"/>
      <c r="AL58" s="118"/>
      <c r="AM58" s="118"/>
      <c r="AN58" s="118"/>
    </row>
    <row r="59" spans="1:40" s="93" customFormat="1" ht="50.1" customHeight="1" x14ac:dyDescent="0.25">
      <c r="A59" s="110">
        <v>41</v>
      </c>
      <c r="B59" s="139"/>
      <c r="C59" s="140" t="s">
        <v>56</v>
      </c>
      <c r="D59" s="140" t="s">
        <v>2592</v>
      </c>
      <c r="E59" s="141" t="s">
        <v>2593</v>
      </c>
      <c r="F59" s="142" t="str">
        <f t="shared" si="8"/>
        <v>20 años 7 meses 8 días</v>
      </c>
      <c r="G59" s="143">
        <v>0.625</v>
      </c>
      <c r="H59" s="110" t="str">
        <f t="shared" si="6"/>
        <v>67 años 3 meses 23 días</v>
      </c>
      <c r="I59" s="110" t="str">
        <f t="shared" si="7"/>
        <v>20 años 4 meses 8 días</v>
      </c>
      <c r="J59" s="195" t="s">
        <v>13</v>
      </c>
      <c r="K59" s="196"/>
      <c r="L59" s="197"/>
      <c r="M59" s="144">
        <f>35615.52</f>
        <v>35615.519999999997</v>
      </c>
      <c r="N59" s="115">
        <f t="shared" si="3"/>
        <v>22259.699999999997</v>
      </c>
      <c r="O59" s="134"/>
      <c r="P59" s="134" t="s">
        <v>42</v>
      </c>
      <c r="Q59" s="115" t="s">
        <v>336</v>
      </c>
      <c r="R59" s="145">
        <v>38762</v>
      </c>
      <c r="S59" s="146">
        <v>45505</v>
      </c>
      <c r="T59" s="145">
        <v>20919</v>
      </c>
      <c r="U59" s="145">
        <v>38070</v>
      </c>
      <c r="V59" s="116">
        <v>31959</v>
      </c>
      <c r="W59" s="116">
        <v>32263</v>
      </c>
      <c r="X59" s="116">
        <v>38070</v>
      </c>
      <c r="Y59" s="116">
        <v>38548</v>
      </c>
      <c r="Z59" s="52"/>
      <c r="AA59" s="52"/>
      <c r="AB59" s="52"/>
      <c r="AC59" s="117"/>
      <c r="AD59" s="118" t="s">
        <v>134</v>
      </c>
      <c r="AE59" s="119" t="s">
        <v>36</v>
      </c>
      <c r="AF59" s="135" t="s">
        <v>37</v>
      </c>
      <c r="AH59" s="118">
        <v>1</v>
      </c>
      <c r="AI59" s="118">
        <v>2</v>
      </c>
      <c r="AJ59" s="118"/>
      <c r="AL59" s="118"/>
      <c r="AM59" s="118">
        <v>12</v>
      </c>
      <c r="AN59" s="118">
        <v>60</v>
      </c>
    </row>
    <row r="60" spans="1:40" s="93" customFormat="1" ht="50.1" customHeight="1" x14ac:dyDescent="0.25">
      <c r="A60" s="110">
        <v>42</v>
      </c>
      <c r="B60" s="139"/>
      <c r="C60" s="140" t="s">
        <v>56</v>
      </c>
      <c r="D60" s="140" t="s">
        <v>2594</v>
      </c>
      <c r="E60" s="141" t="s">
        <v>2595</v>
      </c>
      <c r="F60" s="142" t="str">
        <f t="shared" si="8"/>
        <v>22 años 5 meses 9 días</v>
      </c>
      <c r="G60" s="143">
        <v>0.65</v>
      </c>
      <c r="H60" s="110" t="str">
        <f t="shared" si="6"/>
        <v>52 años 8 meses 20 días</v>
      </c>
      <c r="I60" s="110" t="str">
        <f t="shared" si="7"/>
        <v>10 años 10 meses 24 días</v>
      </c>
      <c r="J60" s="195" t="s">
        <v>13</v>
      </c>
      <c r="K60" s="196"/>
      <c r="L60" s="197"/>
      <c r="M60" s="144">
        <f>35615.52</f>
        <v>35615.519999999997</v>
      </c>
      <c r="N60" s="115">
        <f t="shared" si="3"/>
        <v>23150.088</v>
      </c>
      <c r="O60" s="134"/>
      <c r="P60" s="134" t="s">
        <v>42</v>
      </c>
      <c r="Q60" s="115" t="s">
        <v>336</v>
      </c>
      <c r="R60" s="145">
        <v>37310</v>
      </c>
      <c r="S60" s="146">
        <v>45505</v>
      </c>
      <c r="T60" s="145">
        <v>26249</v>
      </c>
      <c r="U60" s="145">
        <v>41525</v>
      </c>
      <c r="V60" s="116"/>
      <c r="W60" s="116"/>
      <c r="X60" s="116"/>
      <c r="Y60" s="116"/>
      <c r="Z60" s="52"/>
      <c r="AA60" s="52"/>
      <c r="AB60" s="52"/>
      <c r="AC60" s="117"/>
      <c r="AD60" s="118" t="s">
        <v>1032</v>
      </c>
      <c r="AE60" s="119" t="s">
        <v>36</v>
      </c>
      <c r="AF60" s="135" t="s">
        <v>37</v>
      </c>
      <c r="AH60" s="118"/>
      <c r="AI60" s="118"/>
      <c r="AJ60" s="118"/>
      <c r="AL60" s="118"/>
      <c r="AM60" s="118"/>
      <c r="AN60" s="118"/>
    </row>
    <row r="61" spans="1:40" s="93" customFormat="1" ht="50.1" customHeight="1" x14ac:dyDescent="0.25">
      <c r="A61" s="110">
        <v>43</v>
      </c>
      <c r="B61" s="139"/>
      <c r="C61" s="140" t="s">
        <v>56</v>
      </c>
      <c r="D61" s="140" t="s">
        <v>2596</v>
      </c>
      <c r="E61" s="141" t="s">
        <v>2597</v>
      </c>
      <c r="F61" s="142" t="str">
        <f t="shared" si="8"/>
        <v>22 años 1 meses 0 días</v>
      </c>
      <c r="G61" s="143">
        <v>0.65</v>
      </c>
      <c r="H61" s="110" t="str">
        <f t="shared" si="6"/>
        <v>74 años 3 meses 4 días</v>
      </c>
      <c r="I61" s="110" t="str">
        <f t="shared" si="7"/>
        <v>9 años 5 meses 5 días</v>
      </c>
      <c r="J61" s="195"/>
      <c r="K61" s="196"/>
      <c r="L61" s="197"/>
      <c r="M61" s="144">
        <f>35615.53</f>
        <v>35615.53</v>
      </c>
      <c r="N61" s="115">
        <f t="shared" si="3"/>
        <v>23150.094499999999</v>
      </c>
      <c r="O61" s="134"/>
      <c r="P61" s="134" t="s">
        <v>42</v>
      </c>
      <c r="Q61" s="115" t="s">
        <v>336</v>
      </c>
      <c r="R61" s="145">
        <v>37438</v>
      </c>
      <c r="S61" s="146">
        <v>45505</v>
      </c>
      <c r="T61" s="145">
        <v>18381</v>
      </c>
      <c r="U61" s="145">
        <v>42062</v>
      </c>
      <c r="V61" s="116"/>
      <c r="W61" s="116"/>
      <c r="X61" s="116"/>
      <c r="Y61" s="116"/>
      <c r="Z61" s="52"/>
      <c r="AA61" s="52"/>
      <c r="AB61" s="52"/>
      <c r="AC61" s="117"/>
      <c r="AD61" s="118" t="s">
        <v>268</v>
      </c>
      <c r="AE61" s="119" t="s">
        <v>36</v>
      </c>
      <c r="AF61" s="135" t="s">
        <v>37</v>
      </c>
      <c r="AH61" s="118"/>
      <c r="AI61" s="118"/>
      <c r="AJ61" s="118"/>
      <c r="AL61" s="118"/>
      <c r="AM61" s="118"/>
      <c r="AN61" s="118"/>
    </row>
    <row r="62" spans="1:40" s="93" customFormat="1" ht="50.1" customHeight="1" x14ac:dyDescent="0.25">
      <c r="A62" s="110">
        <v>44</v>
      </c>
      <c r="B62" s="139"/>
      <c r="C62" s="140" t="s">
        <v>56</v>
      </c>
      <c r="D62" s="140" t="s">
        <v>2598</v>
      </c>
      <c r="E62" s="141" t="s">
        <v>2599</v>
      </c>
      <c r="F62" s="142" t="str">
        <f t="shared" si="8"/>
        <v>23 años 5 meses 12 días</v>
      </c>
      <c r="G62" s="143">
        <v>0.67500000000000004</v>
      </c>
      <c r="H62" s="110" t="str">
        <f t="shared" si="6"/>
        <v>43 años 1 meses 6 días</v>
      </c>
      <c r="I62" s="110" t="str">
        <f t="shared" si="7"/>
        <v>6 años 5 meses 5 días</v>
      </c>
      <c r="J62" s="195"/>
      <c r="K62" s="196"/>
      <c r="L62" s="197"/>
      <c r="M62" s="144">
        <f>35615.53</f>
        <v>35615.53</v>
      </c>
      <c r="N62" s="115">
        <f>M62*G62</f>
        <v>24040.482749999999</v>
      </c>
      <c r="O62" s="134"/>
      <c r="P62" s="134" t="s">
        <v>42</v>
      </c>
      <c r="Q62" s="115" t="s">
        <v>336</v>
      </c>
      <c r="R62" s="145">
        <v>36942</v>
      </c>
      <c r="S62" s="146">
        <v>45505</v>
      </c>
      <c r="T62" s="145">
        <v>29763</v>
      </c>
      <c r="U62" s="145">
        <v>43158</v>
      </c>
      <c r="V62" s="116"/>
      <c r="W62" s="116"/>
      <c r="X62" s="116"/>
      <c r="Y62" s="116"/>
      <c r="Z62" s="52"/>
      <c r="AA62" s="52"/>
      <c r="AB62" s="52"/>
      <c r="AC62" s="117"/>
      <c r="AD62" s="118" t="s">
        <v>268</v>
      </c>
      <c r="AE62" s="119" t="s">
        <v>36</v>
      </c>
      <c r="AF62" s="135" t="s">
        <v>37</v>
      </c>
      <c r="AH62" s="118"/>
      <c r="AI62" s="118"/>
      <c r="AJ62" s="118"/>
      <c r="AL62" s="118"/>
      <c r="AM62" s="118"/>
      <c r="AN62" s="118"/>
    </row>
    <row r="63" spans="1:40" s="93" customFormat="1" ht="50.1" customHeight="1" x14ac:dyDescent="0.25">
      <c r="A63" s="110">
        <v>45</v>
      </c>
      <c r="B63" s="139"/>
      <c r="C63" s="140" t="s">
        <v>56</v>
      </c>
      <c r="D63" s="140" t="s">
        <v>2600</v>
      </c>
      <c r="E63" s="141" t="s">
        <v>2601</v>
      </c>
      <c r="F63" s="142" t="str">
        <f t="shared" si="8"/>
        <v>32 años 5 meses 0 días</v>
      </c>
      <c r="G63" s="143">
        <v>1</v>
      </c>
      <c r="H63" s="110" t="str">
        <f t="shared" si="6"/>
        <v>52 años 5 meses 4 días</v>
      </c>
      <c r="I63" s="110" t="str">
        <f t="shared" si="7"/>
        <v>13 años 5 meses 0 días</v>
      </c>
      <c r="J63" s="195" t="s">
        <v>13</v>
      </c>
      <c r="K63" s="196"/>
      <c r="L63" s="197"/>
      <c r="M63" s="144">
        <v>35615.53</v>
      </c>
      <c r="N63" s="115">
        <f t="shared" ref="N63:N84" si="10">M63*G63</f>
        <v>35615.53</v>
      </c>
      <c r="O63" s="134" t="s">
        <v>2602</v>
      </c>
      <c r="P63" s="134"/>
      <c r="Q63" s="115" t="s">
        <v>337</v>
      </c>
      <c r="R63" s="145">
        <v>33664</v>
      </c>
      <c r="S63" s="146">
        <v>45505</v>
      </c>
      <c r="T63" s="145">
        <v>26357</v>
      </c>
      <c r="U63" s="145">
        <v>40603</v>
      </c>
      <c r="V63" s="116"/>
      <c r="W63" s="116"/>
      <c r="X63" s="116"/>
      <c r="Y63" s="116"/>
      <c r="Z63" s="52"/>
      <c r="AA63" s="52"/>
      <c r="AB63" s="52"/>
      <c r="AC63" s="117"/>
      <c r="AD63" s="118"/>
      <c r="AE63" s="119"/>
      <c r="AF63" s="135"/>
      <c r="AH63" s="118"/>
      <c r="AI63" s="118"/>
      <c r="AJ63" s="118"/>
      <c r="AL63" s="118"/>
      <c r="AM63" s="118"/>
      <c r="AN63" s="118"/>
    </row>
    <row r="64" spans="1:40" s="93" customFormat="1" ht="50.1" customHeight="1" x14ac:dyDescent="0.25">
      <c r="A64" s="110">
        <v>46</v>
      </c>
      <c r="B64" s="139"/>
      <c r="C64" s="140" t="s">
        <v>87</v>
      </c>
      <c r="D64" s="140" t="s">
        <v>2603</v>
      </c>
      <c r="E64" s="141" t="s">
        <v>2604</v>
      </c>
      <c r="F64" s="142" t="str">
        <f t="shared" si="8"/>
        <v>26 años 3 meses 0 días</v>
      </c>
      <c r="G64" s="143">
        <v>0.75</v>
      </c>
      <c r="H64" s="110" t="str">
        <f t="shared" si="6"/>
        <v>51 años 11 meses 15 días</v>
      </c>
      <c r="I64" s="110" t="str">
        <f t="shared" si="7"/>
        <v>0 años 5 meses 5 días</v>
      </c>
      <c r="J64" s="195"/>
      <c r="K64" s="196"/>
      <c r="L64" s="197"/>
      <c r="M64" s="144">
        <f>32541.77</f>
        <v>32541.77</v>
      </c>
      <c r="N64" s="115">
        <f t="shared" si="10"/>
        <v>24406.327499999999</v>
      </c>
      <c r="O64" s="134"/>
      <c r="P64" s="134" t="s">
        <v>42</v>
      </c>
      <c r="Q64" s="115" t="s">
        <v>336</v>
      </c>
      <c r="R64" s="145">
        <v>37377</v>
      </c>
      <c r="S64" s="146">
        <v>45505</v>
      </c>
      <c r="T64" s="145">
        <v>26528</v>
      </c>
      <c r="U64" s="145">
        <v>45349</v>
      </c>
      <c r="V64" s="116">
        <v>32721</v>
      </c>
      <c r="W64" s="116">
        <v>34182</v>
      </c>
      <c r="X64" s="116"/>
      <c r="Y64" s="116"/>
      <c r="Z64" s="52"/>
      <c r="AA64" s="52"/>
      <c r="AB64" s="52"/>
      <c r="AC64" s="117"/>
      <c r="AD64" s="118" t="s">
        <v>293</v>
      </c>
      <c r="AE64" s="119" t="s">
        <v>36</v>
      </c>
      <c r="AF64" s="135" t="s">
        <v>37</v>
      </c>
      <c r="AH64" s="118"/>
      <c r="AI64" s="118"/>
      <c r="AJ64" s="118"/>
      <c r="AL64" s="118"/>
      <c r="AM64" s="118"/>
      <c r="AN64" s="118"/>
    </row>
    <row r="65" spans="1:40" s="93" customFormat="1" ht="50.1" customHeight="1" x14ac:dyDescent="0.25">
      <c r="A65" s="110">
        <v>47</v>
      </c>
      <c r="B65" s="139"/>
      <c r="C65" s="140" t="s">
        <v>87</v>
      </c>
      <c r="D65" s="140" t="s">
        <v>2605</v>
      </c>
      <c r="E65" s="141" t="s">
        <v>2606</v>
      </c>
      <c r="F65" s="142" t="str">
        <f t="shared" si="8"/>
        <v>22 años 4 meses 0 días</v>
      </c>
      <c r="G65" s="143">
        <v>0.65</v>
      </c>
      <c r="H65" s="110" t="str">
        <f t="shared" si="6"/>
        <v>61 años 7 meses 15 días</v>
      </c>
      <c r="I65" s="110" t="str">
        <f t="shared" si="7"/>
        <v>6 años 5 meses 5 días</v>
      </c>
      <c r="J65" s="195"/>
      <c r="K65" s="196"/>
      <c r="L65" s="197"/>
      <c r="M65" s="144">
        <f>34575.77</f>
        <v>34575.769999999997</v>
      </c>
      <c r="N65" s="115">
        <f t="shared" si="10"/>
        <v>22474.250499999998</v>
      </c>
      <c r="O65" s="134"/>
      <c r="P65" s="134" t="s">
        <v>42</v>
      </c>
      <c r="Q65" s="115" t="s">
        <v>336</v>
      </c>
      <c r="R65" s="145">
        <v>37347</v>
      </c>
      <c r="S65" s="146">
        <v>45505</v>
      </c>
      <c r="T65" s="145">
        <v>22997</v>
      </c>
      <c r="U65" s="145">
        <v>43158</v>
      </c>
      <c r="V65" s="116"/>
      <c r="W65" s="116"/>
      <c r="X65" s="116"/>
      <c r="Y65" s="116"/>
      <c r="Z65" s="52"/>
      <c r="AA65" s="52"/>
      <c r="AB65" s="52"/>
      <c r="AC65" s="117"/>
      <c r="AD65" s="118" t="s">
        <v>268</v>
      </c>
      <c r="AE65" s="119" t="s">
        <v>36</v>
      </c>
      <c r="AF65" s="135" t="s">
        <v>37</v>
      </c>
      <c r="AH65" s="118"/>
      <c r="AI65" s="118"/>
      <c r="AJ65" s="118"/>
      <c r="AL65" s="118"/>
      <c r="AM65" s="118"/>
      <c r="AN65" s="118"/>
    </row>
    <row r="66" spans="1:40" s="93" customFormat="1" ht="50.1" customHeight="1" x14ac:dyDescent="0.25">
      <c r="A66" s="110">
        <v>48</v>
      </c>
      <c r="B66" s="139"/>
      <c r="C66" s="140" t="s">
        <v>87</v>
      </c>
      <c r="D66" s="140" t="s">
        <v>2607</v>
      </c>
      <c r="E66" s="141" t="s">
        <v>2608</v>
      </c>
      <c r="F66" s="142" t="str">
        <f t="shared" si="8"/>
        <v>28 años 2 meses 24 días</v>
      </c>
      <c r="G66" s="143">
        <v>0.8</v>
      </c>
      <c r="H66" s="110" t="str">
        <f t="shared" si="6"/>
        <v>48 años 1 meses 22 días</v>
      </c>
      <c r="I66" s="110" t="str">
        <f t="shared" si="7"/>
        <v>7 años 5 meses 0 días</v>
      </c>
      <c r="J66" s="195"/>
      <c r="K66" s="196"/>
      <c r="L66" s="197"/>
      <c r="M66" s="144">
        <f>34575.78</f>
        <v>34575.78</v>
      </c>
      <c r="N66" s="115">
        <f t="shared" si="10"/>
        <v>27660.624</v>
      </c>
      <c r="O66" s="134"/>
      <c r="P66" s="134" t="s">
        <v>42</v>
      </c>
      <c r="Q66" s="115" t="s">
        <v>336</v>
      </c>
      <c r="R66" s="145">
        <v>35796</v>
      </c>
      <c r="S66" s="146">
        <v>45505</v>
      </c>
      <c r="T66" s="145">
        <v>27921</v>
      </c>
      <c r="U66" s="145">
        <v>42795</v>
      </c>
      <c r="V66" s="116">
        <v>33817</v>
      </c>
      <c r="W66" s="116">
        <v>34418</v>
      </c>
      <c r="X66" s="116"/>
      <c r="Y66" s="116"/>
      <c r="Z66" s="52"/>
      <c r="AA66" s="52"/>
      <c r="AB66" s="52"/>
      <c r="AC66" s="117"/>
      <c r="AD66" s="118" t="s">
        <v>1032</v>
      </c>
      <c r="AE66" s="119" t="s">
        <v>36</v>
      </c>
      <c r="AF66" s="135" t="s">
        <v>37</v>
      </c>
      <c r="AH66" s="118">
        <v>1</v>
      </c>
      <c r="AI66" s="118"/>
      <c r="AJ66" s="118"/>
      <c r="AL66" s="118"/>
      <c r="AM66" s="118">
        <v>12</v>
      </c>
      <c r="AN66" s="118"/>
    </row>
    <row r="67" spans="1:40" s="93" customFormat="1" ht="50.1" customHeight="1" x14ac:dyDescent="0.25">
      <c r="A67" s="110">
        <v>49</v>
      </c>
      <c r="B67" s="139"/>
      <c r="C67" s="140" t="s">
        <v>87</v>
      </c>
      <c r="D67" s="140" t="s">
        <v>2609</v>
      </c>
      <c r="E67" s="141" t="s">
        <v>2610</v>
      </c>
      <c r="F67" s="142" t="str">
        <f t="shared" si="8"/>
        <v>27 años 11 meses 0 días</v>
      </c>
      <c r="G67" s="143">
        <v>0.8</v>
      </c>
      <c r="H67" s="110" t="str">
        <f t="shared" si="6"/>
        <v>51 años 7 meses 0 días</v>
      </c>
      <c r="I67" s="110" t="str">
        <f t="shared" si="7"/>
        <v>9 años 5 meses 5 días</v>
      </c>
      <c r="J67" s="195"/>
      <c r="K67" s="196"/>
      <c r="L67" s="197"/>
      <c r="M67" s="144">
        <f t="shared" ref="M67" si="11">34575.78+8000</f>
        <v>42575.78</v>
      </c>
      <c r="N67" s="115">
        <f>M67*G67</f>
        <v>34060.624000000003</v>
      </c>
      <c r="O67" s="134"/>
      <c r="P67" s="134" t="s">
        <v>42</v>
      </c>
      <c r="Q67" s="115" t="s">
        <v>336</v>
      </c>
      <c r="R67" s="145">
        <v>35309</v>
      </c>
      <c r="S67" s="146">
        <v>45505</v>
      </c>
      <c r="T67" s="145">
        <v>26665</v>
      </c>
      <c r="U67" s="145">
        <v>42062</v>
      </c>
      <c r="V67" s="116"/>
      <c r="W67" s="116"/>
      <c r="X67" s="116"/>
      <c r="Y67" s="116"/>
      <c r="Z67" s="52"/>
      <c r="AA67" s="52"/>
      <c r="AB67" s="52"/>
      <c r="AC67" s="117"/>
      <c r="AD67" s="118" t="s">
        <v>293</v>
      </c>
      <c r="AE67" s="119" t="s">
        <v>36</v>
      </c>
      <c r="AF67" s="135" t="s">
        <v>37</v>
      </c>
      <c r="AH67" s="118"/>
      <c r="AI67" s="118"/>
      <c r="AJ67" s="118"/>
      <c r="AL67" s="118"/>
      <c r="AM67" s="118"/>
      <c r="AN67" s="118"/>
    </row>
    <row r="68" spans="1:40" s="93" customFormat="1" ht="50.1" customHeight="1" x14ac:dyDescent="0.25">
      <c r="A68" s="110">
        <v>50</v>
      </c>
      <c r="B68" s="139"/>
      <c r="C68" s="140" t="s">
        <v>87</v>
      </c>
      <c r="D68" s="140" t="s">
        <v>2611</v>
      </c>
      <c r="E68" s="141" t="s">
        <v>2612</v>
      </c>
      <c r="F68" s="142" t="str">
        <f t="shared" si="8"/>
        <v>26 años 4 meses 21 días</v>
      </c>
      <c r="G68" s="143">
        <v>0.75</v>
      </c>
      <c r="H68" s="110" t="str">
        <f t="shared" si="6"/>
        <v>51 años 7 meses 0 días</v>
      </c>
      <c r="I68" s="110" t="str">
        <f t="shared" si="7"/>
        <v>10 años 10 meses 24 días</v>
      </c>
      <c r="J68" s="195" t="s">
        <v>13</v>
      </c>
      <c r="K68" s="196"/>
      <c r="L68" s="197"/>
      <c r="M68" s="144">
        <f>34575.78</f>
        <v>34575.78</v>
      </c>
      <c r="N68" s="115">
        <f>M68*G68</f>
        <v>25931.834999999999</v>
      </c>
      <c r="O68" s="134"/>
      <c r="P68" s="134" t="s">
        <v>42</v>
      </c>
      <c r="Q68" s="115" t="s">
        <v>336</v>
      </c>
      <c r="R68" s="145">
        <v>37326</v>
      </c>
      <c r="S68" s="146">
        <v>45505</v>
      </c>
      <c r="T68" s="145">
        <v>26665</v>
      </c>
      <c r="U68" s="145">
        <v>41525</v>
      </c>
      <c r="V68" s="116">
        <v>34820</v>
      </c>
      <c r="W68" s="116">
        <v>36281</v>
      </c>
      <c r="X68" s="116"/>
      <c r="Y68" s="116"/>
      <c r="Z68" s="52"/>
      <c r="AA68" s="52"/>
      <c r="AB68" s="52"/>
      <c r="AC68" s="117"/>
      <c r="AD68" s="118" t="s">
        <v>1032</v>
      </c>
      <c r="AE68" s="119" t="s">
        <v>36</v>
      </c>
      <c r="AF68" s="135" t="s">
        <v>37</v>
      </c>
      <c r="AH68" s="118"/>
      <c r="AI68" s="118"/>
      <c r="AJ68" s="118"/>
      <c r="AL68" s="118"/>
      <c r="AM68" s="118"/>
      <c r="AN68" s="118"/>
    </row>
    <row r="69" spans="1:40" s="93" customFormat="1" ht="50.1" customHeight="1" x14ac:dyDescent="0.25">
      <c r="A69" s="110">
        <v>51</v>
      </c>
      <c r="B69" s="139"/>
      <c r="C69" s="140" t="s">
        <v>87</v>
      </c>
      <c r="D69" s="140" t="s">
        <v>2613</v>
      </c>
      <c r="E69" s="141" t="s">
        <v>2614</v>
      </c>
      <c r="F69" s="142" t="str">
        <f t="shared" si="8"/>
        <v>30 años 4 meses 4 días</v>
      </c>
      <c r="G69" s="143">
        <v>0.85</v>
      </c>
      <c r="H69" s="110" t="str">
        <f t="shared" si="6"/>
        <v>51 años 7 meses 6 días</v>
      </c>
      <c r="I69" s="110" t="str">
        <f t="shared" si="7"/>
        <v>6 años 5 meses 5 días</v>
      </c>
      <c r="J69" s="195"/>
      <c r="K69" s="196"/>
      <c r="L69" s="197"/>
      <c r="M69" s="144">
        <f>34575.78</f>
        <v>34575.78</v>
      </c>
      <c r="N69" s="115">
        <f t="shared" si="10"/>
        <v>29389.412999999997</v>
      </c>
      <c r="O69" s="134"/>
      <c r="P69" s="134" t="s">
        <v>42</v>
      </c>
      <c r="Q69" s="115" t="s">
        <v>336</v>
      </c>
      <c r="R69" s="145">
        <v>34421</v>
      </c>
      <c r="S69" s="146">
        <v>45505</v>
      </c>
      <c r="T69" s="145">
        <v>26659</v>
      </c>
      <c r="U69" s="145">
        <v>43158</v>
      </c>
      <c r="V69" s="116"/>
      <c r="W69" s="116"/>
      <c r="X69" s="116"/>
      <c r="Y69" s="116"/>
      <c r="Z69" s="52"/>
      <c r="AA69" s="52"/>
      <c r="AB69" s="52"/>
      <c r="AC69" s="117"/>
      <c r="AD69" s="118" t="s">
        <v>1032</v>
      </c>
      <c r="AE69" s="119" t="s">
        <v>36</v>
      </c>
      <c r="AF69" s="135" t="s">
        <v>37</v>
      </c>
      <c r="AH69" s="118"/>
      <c r="AI69" s="118"/>
      <c r="AJ69" s="118"/>
      <c r="AL69" s="118"/>
      <c r="AM69" s="118"/>
      <c r="AN69" s="118"/>
    </row>
    <row r="70" spans="1:40" s="93" customFormat="1" ht="50.1" customHeight="1" x14ac:dyDescent="0.25">
      <c r="A70" s="110">
        <v>52</v>
      </c>
      <c r="B70" s="139"/>
      <c r="C70" s="140" t="s">
        <v>87</v>
      </c>
      <c r="D70" s="140" t="s">
        <v>2615</v>
      </c>
      <c r="E70" s="141" t="s">
        <v>2616</v>
      </c>
      <c r="F70" s="142" t="str">
        <f t="shared" si="8"/>
        <v>29 años 10 meses 0 días</v>
      </c>
      <c r="G70" s="143">
        <v>0.85</v>
      </c>
      <c r="H70" s="110" t="str">
        <f t="shared" si="6"/>
        <v>53 años 1 meses 23 días</v>
      </c>
      <c r="I70" s="110" t="str">
        <f t="shared" si="7"/>
        <v>8 años 5 meses 0 días</v>
      </c>
      <c r="J70" s="195"/>
      <c r="K70" s="196"/>
      <c r="L70" s="197"/>
      <c r="M70" s="144">
        <f>34575.78</f>
        <v>34575.78</v>
      </c>
      <c r="N70" s="115">
        <f t="shared" si="10"/>
        <v>29389.412999999997</v>
      </c>
      <c r="O70" s="134"/>
      <c r="P70" s="134" t="s">
        <v>42</v>
      </c>
      <c r="Q70" s="115" t="s">
        <v>336</v>
      </c>
      <c r="R70" s="145">
        <v>34608</v>
      </c>
      <c r="S70" s="146">
        <v>45505</v>
      </c>
      <c r="T70" s="145">
        <v>26093</v>
      </c>
      <c r="U70" s="145">
        <v>42430</v>
      </c>
      <c r="V70" s="116"/>
      <c r="W70" s="116"/>
      <c r="X70" s="116"/>
      <c r="Y70" s="116"/>
      <c r="Z70" s="52"/>
      <c r="AA70" s="52"/>
      <c r="AB70" s="52"/>
      <c r="AC70" s="117"/>
      <c r="AD70" s="118" t="s">
        <v>1032</v>
      </c>
      <c r="AE70" s="119" t="s">
        <v>36</v>
      </c>
      <c r="AF70" s="135" t="s">
        <v>37</v>
      </c>
      <c r="AH70" s="118"/>
      <c r="AI70" s="118"/>
      <c r="AJ70" s="118"/>
      <c r="AL70" s="118"/>
      <c r="AM70" s="118"/>
      <c r="AN70" s="118"/>
    </row>
    <row r="71" spans="1:40" s="93" customFormat="1" ht="50.1" customHeight="1" x14ac:dyDescent="0.25">
      <c r="A71" s="110">
        <v>53</v>
      </c>
      <c r="B71" s="139"/>
      <c r="C71" s="140" t="s">
        <v>87</v>
      </c>
      <c r="D71" s="140" t="s">
        <v>2617</v>
      </c>
      <c r="E71" s="141" t="s">
        <v>2618</v>
      </c>
      <c r="F71" s="142" t="str">
        <f t="shared" si="8"/>
        <v>26 años 11 meses 0 días</v>
      </c>
      <c r="G71" s="143">
        <v>0.77500000000000002</v>
      </c>
      <c r="H71" s="110" t="str">
        <f t="shared" si="6"/>
        <v>46 años 9 meses 16 días</v>
      </c>
      <c r="I71" s="110" t="str">
        <f t="shared" si="7"/>
        <v>7 años 5 meses 0 días</v>
      </c>
      <c r="J71" s="195"/>
      <c r="K71" s="196"/>
      <c r="L71" s="197"/>
      <c r="M71" s="144">
        <f>34575.77</f>
        <v>34575.769999999997</v>
      </c>
      <c r="N71" s="115">
        <f t="shared" si="10"/>
        <v>26796.221749999997</v>
      </c>
      <c r="O71" s="134"/>
      <c r="P71" s="134" t="s">
        <v>42</v>
      </c>
      <c r="Q71" s="115" t="s">
        <v>336</v>
      </c>
      <c r="R71" s="145">
        <v>35674</v>
      </c>
      <c r="S71" s="146">
        <v>45505</v>
      </c>
      <c r="T71" s="145">
        <v>28414</v>
      </c>
      <c r="U71" s="145">
        <v>42795</v>
      </c>
      <c r="V71" s="116"/>
      <c r="W71" s="116"/>
      <c r="X71" s="116"/>
      <c r="Y71" s="116"/>
      <c r="Z71" s="52"/>
      <c r="AA71" s="52"/>
      <c r="AB71" s="52"/>
      <c r="AC71" s="117"/>
      <c r="AD71" s="118" t="s">
        <v>35</v>
      </c>
      <c r="AE71" s="119" t="s">
        <v>36</v>
      </c>
      <c r="AF71" s="135" t="s">
        <v>37</v>
      </c>
      <c r="AH71" s="118"/>
      <c r="AI71" s="118"/>
      <c r="AJ71" s="118"/>
      <c r="AL71" s="118"/>
      <c r="AM71" s="118"/>
      <c r="AN71" s="118"/>
    </row>
    <row r="72" spans="1:40" s="93" customFormat="1" ht="50.1" customHeight="1" x14ac:dyDescent="0.25">
      <c r="A72" s="110">
        <v>54</v>
      </c>
      <c r="B72" s="139"/>
      <c r="C72" s="140" t="s">
        <v>87</v>
      </c>
      <c r="D72" s="140" t="s">
        <v>2619</v>
      </c>
      <c r="E72" s="141" t="s">
        <v>2620</v>
      </c>
      <c r="F72" s="142" t="str">
        <f t="shared" si="8"/>
        <v>32 años 0 meses 0 días</v>
      </c>
      <c r="G72" s="143">
        <v>0.91</v>
      </c>
      <c r="H72" s="110" t="str">
        <f t="shared" si="6"/>
        <v>52 años 2 meses 29 días</v>
      </c>
      <c r="I72" s="110" t="str">
        <f t="shared" si="7"/>
        <v>12 años 5 meses 0 días</v>
      </c>
      <c r="J72" s="195" t="s">
        <v>13</v>
      </c>
      <c r="K72" s="196"/>
      <c r="L72" s="197"/>
      <c r="M72" s="144">
        <f>34575.77+8000</f>
        <v>42575.77</v>
      </c>
      <c r="N72" s="115">
        <f t="shared" si="10"/>
        <v>38743.950700000001</v>
      </c>
      <c r="O72" s="134"/>
      <c r="P72" s="134" t="s">
        <v>42</v>
      </c>
      <c r="Q72" s="115" t="s">
        <v>336</v>
      </c>
      <c r="R72" s="145">
        <v>33817</v>
      </c>
      <c r="S72" s="146">
        <v>45505</v>
      </c>
      <c r="T72" s="145">
        <v>26422</v>
      </c>
      <c r="U72" s="145">
        <v>40969</v>
      </c>
      <c r="V72" s="116"/>
      <c r="W72" s="116"/>
      <c r="X72" s="116"/>
      <c r="Y72" s="116"/>
      <c r="Z72" s="52"/>
      <c r="AA72" s="52"/>
      <c r="AB72" s="52"/>
      <c r="AC72" s="117"/>
      <c r="AD72" s="118" t="s">
        <v>293</v>
      </c>
      <c r="AE72" s="119" t="s">
        <v>36</v>
      </c>
      <c r="AF72" s="135" t="s">
        <v>37</v>
      </c>
      <c r="AH72" s="118"/>
      <c r="AI72" s="118"/>
      <c r="AJ72" s="118"/>
      <c r="AL72" s="118"/>
      <c r="AM72" s="118"/>
      <c r="AN72" s="118"/>
    </row>
    <row r="73" spans="1:40" s="93" customFormat="1" ht="50.1" customHeight="1" x14ac:dyDescent="0.25">
      <c r="A73" s="110">
        <v>55</v>
      </c>
      <c r="B73" s="139"/>
      <c r="C73" s="140" t="s">
        <v>87</v>
      </c>
      <c r="D73" s="140" t="s">
        <v>2621</v>
      </c>
      <c r="E73" s="141" t="s">
        <v>2622</v>
      </c>
      <c r="F73" s="142" t="str">
        <f t="shared" si="8"/>
        <v>30 años 3 meses 26 días</v>
      </c>
      <c r="G73" s="143">
        <v>0.85</v>
      </c>
      <c r="H73" s="110" t="str">
        <f t="shared" si="6"/>
        <v>60 años 5 meses 4 días</v>
      </c>
      <c r="I73" s="110" t="str">
        <f t="shared" si="7"/>
        <v>8 años 5 meses 0 días</v>
      </c>
      <c r="J73" s="195"/>
      <c r="K73" s="196"/>
      <c r="L73" s="197"/>
      <c r="M73" s="144">
        <f>34575.78</f>
        <v>34575.78</v>
      </c>
      <c r="N73" s="115">
        <f t="shared" si="10"/>
        <v>29389.412999999997</v>
      </c>
      <c r="O73" s="134"/>
      <c r="P73" s="134" t="s">
        <v>42</v>
      </c>
      <c r="Q73" s="115" t="s">
        <v>336</v>
      </c>
      <c r="R73" s="145">
        <v>34430</v>
      </c>
      <c r="S73" s="146">
        <v>45505</v>
      </c>
      <c r="T73" s="145">
        <v>23435</v>
      </c>
      <c r="U73" s="145">
        <v>42430</v>
      </c>
      <c r="V73" s="116"/>
      <c r="W73" s="116"/>
      <c r="X73" s="116"/>
      <c r="Y73" s="116"/>
      <c r="Z73" s="52"/>
      <c r="AA73" s="52"/>
      <c r="AB73" s="52"/>
      <c r="AC73" s="117"/>
      <c r="AD73" s="118" t="s">
        <v>35</v>
      </c>
      <c r="AE73" s="119" t="s">
        <v>36</v>
      </c>
      <c r="AF73" s="135" t="s">
        <v>37</v>
      </c>
      <c r="AH73" s="118"/>
      <c r="AI73" s="118"/>
      <c r="AJ73" s="118"/>
      <c r="AL73" s="118"/>
      <c r="AM73" s="118"/>
      <c r="AN73" s="118"/>
    </row>
    <row r="74" spans="1:40" s="93" customFormat="1" ht="50.1" customHeight="1" x14ac:dyDescent="0.25">
      <c r="A74" s="110">
        <v>56</v>
      </c>
      <c r="B74" s="139"/>
      <c r="C74" s="140" t="s">
        <v>87</v>
      </c>
      <c r="D74" s="140" t="s">
        <v>2623</v>
      </c>
      <c r="E74" s="141" t="s">
        <v>2624</v>
      </c>
      <c r="F74" s="142" t="str">
        <f t="shared" si="8"/>
        <v>30 años 1 meses 23 días</v>
      </c>
      <c r="G74" s="143">
        <v>0.85</v>
      </c>
      <c r="H74" s="110" t="str">
        <f t="shared" si="6"/>
        <v>47 años 11 meses 16 días</v>
      </c>
      <c r="I74" s="110" t="str">
        <f t="shared" si="7"/>
        <v>6 años 5 meses 5 días</v>
      </c>
      <c r="J74" s="195"/>
      <c r="K74" s="196"/>
      <c r="L74" s="197"/>
      <c r="M74" s="144">
        <f>34575.78</f>
        <v>34575.78</v>
      </c>
      <c r="N74" s="115">
        <f t="shared" si="10"/>
        <v>29389.412999999997</v>
      </c>
      <c r="O74" s="134"/>
      <c r="P74" s="134" t="s">
        <v>42</v>
      </c>
      <c r="Q74" s="115" t="s">
        <v>336</v>
      </c>
      <c r="R74" s="145">
        <v>35495</v>
      </c>
      <c r="S74" s="146">
        <v>45505</v>
      </c>
      <c r="T74" s="145">
        <v>27988</v>
      </c>
      <c r="U74" s="145">
        <v>43158</v>
      </c>
      <c r="V74" s="116">
        <v>34351</v>
      </c>
      <c r="W74" s="116">
        <v>35352</v>
      </c>
      <c r="X74" s="116"/>
      <c r="Y74" s="116"/>
      <c r="Z74" s="52"/>
      <c r="AA74" s="52"/>
      <c r="AB74" s="52"/>
      <c r="AC74" s="117"/>
      <c r="AD74" s="118" t="s">
        <v>35</v>
      </c>
      <c r="AE74" s="119" t="s">
        <v>36</v>
      </c>
      <c r="AF74" s="135" t="s">
        <v>37</v>
      </c>
      <c r="AH74" s="118">
        <v>1</v>
      </c>
      <c r="AI74" s="118">
        <v>1</v>
      </c>
      <c r="AJ74" s="118"/>
      <c r="AL74" s="118"/>
      <c r="AM74" s="118">
        <v>12</v>
      </c>
      <c r="AN74" s="118">
        <v>30</v>
      </c>
    </row>
    <row r="75" spans="1:40" s="93" customFormat="1" ht="50.1" customHeight="1" x14ac:dyDescent="0.25">
      <c r="A75" s="110">
        <v>57</v>
      </c>
      <c r="B75" s="139"/>
      <c r="C75" s="140" t="s">
        <v>87</v>
      </c>
      <c r="D75" s="140" t="s">
        <v>2625</v>
      </c>
      <c r="E75" s="141" t="s">
        <v>2626</v>
      </c>
      <c r="F75" s="142" t="str">
        <f t="shared" si="8"/>
        <v>31 años 11 meses 3 días</v>
      </c>
      <c r="G75" s="143">
        <v>0.91</v>
      </c>
      <c r="H75" s="110" t="str">
        <f t="shared" si="6"/>
        <v>50 años 1 meses 8 días</v>
      </c>
      <c r="I75" s="110" t="str">
        <f t="shared" si="7"/>
        <v>7 años 5 meses 0 días</v>
      </c>
      <c r="J75" s="195"/>
      <c r="K75" s="196"/>
      <c r="L75" s="197"/>
      <c r="M75" s="144">
        <f>34575.77</f>
        <v>34575.769999999997</v>
      </c>
      <c r="N75" s="115">
        <f t="shared" si="10"/>
        <v>31463.950699999998</v>
      </c>
      <c r="O75" s="134"/>
      <c r="P75" s="134" t="s">
        <v>42</v>
      </c>
      <c r="Q75" s="115" t="s">
        <v>336</v>
      </c>
      <c r="R75" s="145">
        <v>35339</v>
      </c>
      <c r="S75" s="146">
        <v>45505</v>
      </c>
      <c r="T75" s="145">
        <v>27204</v>
      </c>
      <c r="U75" s="145">
        <v>42795</v>
      </c>
      <c r="V75" s="116">
        <v>33787</v>
      </c>
      <c r="W75" s="116">
        <v>35282</v>
      </c>
      <c r="X75" s="116"/>
      <c r="Y75" s="116"/>
      <c r="Z75" s="52"/>
      <c r="AA75" s="52"/>
      <c r="AB75" s="52"/>
      <c r="AC75" s="117"/>
      <c r="AD75" s="118" t="s">
        <v>134</v>
      </c>
      <c r="AE75" s="119" t="s">
        <v>36</v>
      </c>
      <c r="AF75" s="135" t="s">
        <v>37</v>
      </c>
      <c r="AH75" s="118"/>
      <c r="AI75" s="118"/>
      <c r="AJ75" s="118"/>
      <c r="AL75" s="118"/>
      <c r="AM75" s="118"/>
      <c r="AN75" s="118"/>
    </row>
    <row r="76" spans="1:40" s="93" customFormat="1" ht="50.1" customHeight="1" x14ac:dyDescent="0.25">
      <c r="A76" s="110">
        <v>58</v>
      </c>
      <c r="B76" s="139"/>
      <c r="C76" s="140" t="s">
        <v>87</v>
      </c>
      <c r="D76" s="140" t="s">
        <v>2627</v>
      </c>
      <c r="E76" s="141" t="s">
        <v>2628</v>
      </c>
      <c r="F76" s="142" t="str">
        <f t="shared" si="8"/>
        <v>31 años 2 meses 0 días</v>
      </c>
      <c r="G76" s="143">
        <v>0.88</v>
      </c>
      <c r="H76" s="110" t="str">
        <f t="shared" si="6"/>
        <v>48 años 11 meses 0 días</v>
      </c>
      <c r="I76" s="110" t="str">
        <f t="shared" si="7"/>
        <v>7 años 5 meses 0 días</v>
      </c>
      <c r="J76" s="195"/>
      <c r="K76" s="196"/>
      <c r="L76" s="197"/>
      <c r="M76" s="144">
        <f>34575.78</f>
        <v>34575.78</v>
      </c>
      <c r="N76" s="115">
        <f t="shared" si="10"/>
        <v>30426.686399999999</v>
      </c>
      <c r="O76" s="134"/>
      <c r="P76" s="134" t="s">
        <v>42</v>
      </c>
      <c r="Q76" s="115" t="s">
        <v>336</v>
      </c>
      <c r="R76" s="145">
        <v>34121</v>
      </c>
      <c r="S76" s="146">
        <v>45505</v>
      </c>
      <c r="T76" s="145">
        <v>27638</v>
      </c>
      <c r="U76" s="145">
        <v>42795</v>
      </c>
      <c r="V76" s="116"/>
      <c r="W76" s="116"/>
      <c r="X76" s="116"/>
      <c r="Y76" s="116"/>
      <c r="Z76" s="52"/>
      <c r="AA76" s="52"/>
      <c r="AB76" s="52"/>
      <c r="AC76" s="117"/>
      <c r="AD76" s="118" t="s">
        <v>134</v>
      </c>
      <c r="AE76" s="119" t="s">
        <v>36</v>
      </c>
      <c r="AF76" s="135" t="s">
        <v>37</v>
      </c>
      <c r="AH76" s="118"/>
      <c r="AI76" s="118"/>
      <c r="AJ76" s="118"/>
      <c r="AL76" s="118"/>
      <c r="AM76" s="118"/>
      <c r="AN76" s="118"/>
    </row>
    <row r="77" spans="1:40" s="93" customFormat="1" ht="50.1" customHeight="1" x14ac:dyDescent="0.25">
      <c r="A77" s="110">
        <v>59</v>
      </c>
      <c r="B77" s="139"/>
      <c r="C77" s="140" t="s">
        <v>87</v>
      </c>
      <c r="D77" s="140" t="s">
        <v>2629</v>
      </c>
      <c r="E77" s="141" t="s">
        <v>2630</v>
      </c>
      <c r="F77" s="142" t="str">
        <f t="shared" si="8"/>
        <v>25 años 3 meses 0 días</v>
      </c>
      <c r="G77" s="143">
        <v>0.72499999999999998</v>
      </c>
      <c r="H77" s="110" t="str">
        <f t="shared" si="6"/>
        <v>53 años 6 meses 11 días</v>
      </c>
      <c r="I77" s="110" t="str">
        <f t="shared" si="7"/>
        <v>2 años 5 meses 5 días</v>
      </c>
      <c r="J77" s="195"/>
      <c r="K77" s="196"/>
      <c r="L77" s="197"/>
      <c r="M77" s="144">
        <f>32541.78</f>
        <v>32541.78</v>
      </c>
      <c r="N77" s="115">
        <f t="shared" si="10"/>
        <v>23592.790499999999</v>
      </c>
      <c r="O77" s="134"/>
      <c r="P77" s="134" t="s">
        <v>42</v>
      </c>
      <c r="Q77" s="115" t="s">
        <v>336</v>
      </c>
      <c r="R77" s="145">
        <v>36281</v>
      </c>
      <c r="S77" s="146">
        <v>45505</v>
      </c>
      <c r="T77" s="145">
        <v>25954</v>
      </c>
      <c r="U77" s="145">
        <v>44619</v>
      </c>
      <c r="V77" s="116"/>
      <c r="W77" s="116"/>
      <c r="X77" s="116"/>
      <c r="Y77" s="116"/>
      <c r="Z77" s="52"/>
      <c r="AA77" s="52"/>
      <c r="AB77" s="52"/>
      <c r="AC77" s="117"/>
      <c r="AD77" s="118" t="s">
        <v>1032</v>
      </c>
      <c r="AE77" s="119" t="s">
        <v>36</v>
      </c>
      <c r="AF77" s="135" t="s">
        <v>37</v>
      </c>
      <c r="AH77" s="118"/>
      <c r="AI77" s="118"/>
      <c r="AJ77" s="118"/>
      <c r="AL77" s="118"/>
      <c r="AM77" s="118"/>
      <c r="AN77" s="118"/>
    </row>
    <row r="78" spans="1:40" s="93" customFormat="1" ht="50.1" customHeight="1" x14ac:dyDescent="0.25">
      <c r="A78" s="110">
        <v>60</v>
      </c>
      <c r="B78" s="139"/>
      <c r="C78" s="140" t="s">
        <v>87</v>
      </c>
      <c r="D78" s="140" t="s">
        <v>2631</v>
      </c>
      <c r="E78" s="141" t="s">
        <v>2632</v>
      </c>
      <c r="F78" s="142" t="str">
        <f t="shared" si="8"/>
        <v>27 años 0 meses 0 días</v>
      </c>
      <c r="G78" s="143">
        <v>0.77500000000000002</v>
      </c>
      <c r="H78" s="110" t="str">
        <f t="shared" si="6"/>
        <v>52 años 4 meses 8 días</v>
      </c>
      <c r="I78" s="110" t="str">
        <f t="shared" si="7"/>
        <v>7 años 5 meses 0 días</v>
      </c>
      <c r="J78" s="195"/>
      <c r="K78" s="196"/>
      <c r="L78" s="197"/>
      <c r="M78" s="144">
        <f>34575.77</f>
        <v>34575.769999999997</v>
      </c>
      <c r="N78" s="115">
        <f t="shared" si="10"/>
        <v>26796.221749999997</v>
      </c>
      <c r="O78" s="134"/>
      <c r="P78" s="134" t="s">
        <v>42</v>
      </c>
      <c r="Q78" s="115" t="s">
        <v>336</v>
      </c>
      <c r="R78" s="145">
        <v>35643</v>
      </c>
      <c r="S78" s="146">
        <v>45505</v>
      </c>
      <c r="T78" s="145">
        <v>26382</v>
      </c>
      <c r="U78" s="145">
        <v>42795</v>
      </c>
      <c r="V78" s="116"/>
      <c r="W78" s="116"/>
      <c r="X78" s="116"/>
      <c r="Y78" s="116"/>
      <c r="Z78" s="52"/>
      <c r="AA78" s="52"/>
      <c r="AB78" s="52"/>
      <c r="AC78" s="117"/>
      <c r="AD78" s="118" t="s">
        <v>134</v>
      </c>
      <c r="AE78" s="119" t="s">
        <v>36</v>
      </c>
      <c r="AF78" s="135" t="s">
        <v>37</v>
      </c>
      <c r="AH78" s="118"/>
      <c r="AI78" s="118"/>
      <c r="AJ78" s="118"/>
      <c r="AL78" s="118"/>
      <c r="AM78" s="118"/>
      <c r="AN78" s="118"/>
    </row>
    <row r="79" spans="1:40" s="93" customFormat="1" ht="50.1" customHeight="1" x14ac:dyDescent="0.25">
      <c r="A79" s="110">
        <v>61</v>
      </c>
      <c r="B79" s="139"/>
      <c r="C79" s="140" t="s">
        <v>87</v>
      </c>
      <c r="D79" s="140" t="s">
        <v>2633</v>
      </c>
      <c r="E79" s="141" t="s">
        <v>2634</v>
      </c>
      <c r="F79" s="142" t="str">
        <f t="shared" si="8"/>
        <v>30 años 6 meses 0 días</v>
      </c>
      <c r="G79" s="143">
        <v>0.88</v>
      </c>
      <c r="H79" s="110" t="str">
        <f t="shared" si="6"/>
        <v>47 años 11 meses 25 días</v>
      </c>
      <c r="I79" s="110" t="str">
        <f t="shared" si="7"/>
        <v>7 años 5 meses 0 días</v>
      </c>
      <c r="J79" s="195"/>
      <c r="K79" s="196"/>
      <c r="L79" s="197"/>
      <c r="M79" s="144">
        <f>34575.78</f>
        <v>34575.78</v>
      </c>
      <c r="N79" s="115">
        <f t="shared" si="10"/>
        <v>30426.686399999999</v>
      </c>
      <c r="O79" s="134"/>
      <c r="P79" s="134" t="s">
        <v>42</v>
      </c>
      <c r="Q79" s="115" t="s">
        <v>336</v>
      </c>
      <c r="R79" s="145">
        <v>34366</v>
      </c>
      <c r="S79" s="146">
        <v>45505</v>
      </c>
      <c r="T79" s="145">
        <v>27979</v>
      </c>
      <c r="U79" s="145">
        <v>42795</v>
      </c>
      <c r="V79" s="116"/>
      <c r="W79" s="116"/>
      <c r="X79" s="116"/>
      <c r="Y79" s="116"/>
      <c r="Z79" s="52"/>
      <c r="AA79" s="52"/>
      <c r="AB79" s="52"/>
      <c r="AC79" s="117"/>
      <c r="AD79" s="118" t="s">
        <v>1032</v>
      </c>
      <c r="AE79" s="119" t="s">
        <v>36</v>
      </c>
      <c r="AF79" s="135" t="s">
        <v>37</v>
      </c>
      <c r="AH79" s="118"/>
      <c r="AI79" s="118"/>
      <c r="AJ79" s="118"/>
      <c r="AL79" s="118"/>
      <c r="AM79" s="118"/>
      <c r="AN79" s="118"/>
    </row>
    <row r="80" spans="1:40" s="93" customFormat="1" ht="50.1" customHeight="1" x14ac:dyDescent="0.25">
      <c r="A80" s="110">
        <v>62</v>
      </c>
      <c r="B80" s="139"/>
      <c r="C80" s="140" t="s">
        <v>87</v>
      </c>
      <c r="D80" s="140" t="s">
        <v>2635</v>
      </c>
      <c r="E80" s="141" t="s">
        <v>2636</v>
      </c>
      <c r="F80" s="142" t="str">
        <f t="shared" si="8"/>
        <v>27 años 8 meses 17 días</v>
      </c>
      <c r="G80" s="143">
        <v>0.8</v>
      </c>
      <c r="H80" s="110" t="str">
        <f t="shared" si="6"/>
        <v>45 años 6 meses 6 días</v>
      </c>
      <c r="I80" s="110" t="str">
        <f t="shared" si="7"/>
        <v>2 años 5 meses 5 días</v>
      </c>
      <c r="J80" s="195"/>
      <c r="K80" s="196"/>
      <c r="L80" s="197"/>
      <c r="M80" s="144">
        <f>32541.78</f>
        <v>32541.78</v>
      </c>
      <c r="N80" s="115">
        <f t="shared" si="10"/>
        <v>26033.423999999999</v>
      </c>
      <c r="O80" s="134"/>
      <c r="P80" s="134" t="s">
        <v>42</v>
      </c>
      <c r="Q80" s="115" t="s">
        <v>336</v>
      </c>
      <c r="R80" s="145">
        <v>35384</v>
      </c>
      <c r="S80" s="146">
        <v>45505</v>
      </c>
      <c r="T80" s="145">
        <v>28881</v>
      </c>
      <c r="U80" s="145">
        <v>44619</v>
      </c>
      <c r="V80" s="116"/>
      <c r="W80" s="116"/>
      <c r="X80" s="116"/>
      <c r="Y80" s="116"/>
      <c r="Z80" s="52"/>
      <c r="AA80" s="52"/>
      <c r="AB80" s="52"/>
      <c r="AC80" s="117"/>
      <c r="AD80" s="118" t="s">
        <v>268</v>
      </c>
      <c r="AE80" s="119" t="s">
        <v>36</v>
      </c>
      <c r="AF80" s="135" t="s">
        <v>37</v>
      </c>
      <c r="AH80" s="118"/>
      <c r="AI80" s="118"/>
      <c r="AJ80" s="118"/>
      <c r="AL80" s="118"/>
      <c r="AM80" s="118"/>
      <c r="AN80" s="118"/>
    </row>
    <row r="81" spans="1:40" s="93" customFormat="1" ht="50.1" customHeight="1" x14ac:dyDescent="0.25">
      <c r="A81" s="110">
        <v>63</v>
      </c>
      <c r="B81" s="139"/>
      <c r="C81" s="140" t="s">
        <v>87</v>
      </c>
      <c r="D81" s="140" t="s">
        <v>2637</v>
      </c>
      <c r="E81" s="141" t="s">
        <v>2638</v>
      </c>
      <c r="F81" s="142" t="str">
        <f t="shared" si="8"/>
        <v>29 años 11 meses 0 días</v>
      </c>
      <c r="G81" s="143">
        <v>0.85</v>
      </c>
      <c r="H81" s="110" t="str">
        <f t="shared" si="6"/>
        <v>46 años 11 meses 0 días</v>
      </c>
      <c r="I81" s="110" t="str">
        <f t="shared" si="7"/>
        <v>7 años 5 meses 0 días</v>
      </c>
      <c r="J81" s="195"/>
      <c r="K81" s="196"/>
      <c r="L81" s="197"/>
      <c r="M81" s="144">
        <f>34575.78</f>
        <v>34575.78</v>
      </c>
      <c r="N81" s="115">
        <f t="shared" si="10"/>
        <v>29389.412999999997</v>
      </c>
      <c r="O81" s="134"/>
      <c r="P81" s="134" t="s">
        <v>42</v>
      </c>
      <c r="Q81" s="115" t="s">
        <v>336</v>
      </c>
      <c r="R81" s="145">
        <v>34578</v>
      </c>
      <c r="S81" s="146">
        <v>45505</v>
      </c>
      <c r="T81" s="145">
        <v>28369</v>
      </c>
      <c r="U81" s="145">
        <v>42795</v>
      </c>
      <c r="V81" s="116"/>
      <c r="W81" s="116"/>
      <c r="X81" s="116"/>
      <c r="Y81" s="116"/>
      <c r="Z81" s="52"/>
      <c r="AA81" s="52"/>
      <c r="AB81" s="52"/>
      <c r="AC81" s="117"/>
      <c r="AD81" s="118" t="s">
        <v>1032</v>
      </c>
      <c r="AE81" s="119" t="s">
        <v>36</v>
      </c>
      <c r="AF81" s="135" t="s">
        <v>37</v>
      </c>
      <c r="AH81" s="118"/>
      <c r="AI81" s="118"/>
      <c r="AJ81" s="118"/>
      <c r="AL81" s="118"/>
      <c r="AM81" s="118"/>
      <c r="AN81" s="118"/>
    </row>
    <row r="82" spans="1:40" s="93" customFormat="1" ht="50.1" customHeight="1" x14ac:dyDescent="0.25">
      <c r="A82" s="110">
        <v>64</v>
      </c>
      <c r="B82" s="139"/>
      <c r="C82" s="140" t="s">
        <v>87</v>
      </c>
      <c r="D82" s="140" t="s">
        <v>2639</v>
      </c>
      <c r="E82" s="141" t="s">
        <v>2640</v>
      </c>
      <c r="F82" s="142" t="str">
        <f t="shared" ref="F82:F83" si="12">DATEDIF(R82,S82,"y") + DATEDIF(V82,W82,"y") + DATEDIF(X82,Y82,"y") + SUM(AH82) &amp; " años " &amp; DATEDIF(R82,S82,"ym") + DATEDIF(V82,W82,"ym") + DATEDIF(X82,Y82,"ym") + SUM(AI82) - SUM(AM82) &amp; " meses " &amp; DATEDIF(R82,S82,"md") + DATEDIF(V82,W82,"md") + DATEDIF(X82,Y82,"md") - SUM(AN82) &amp; " días"</f>
        <v>25 años 9 meses 27 días</v>
      </c>
      <c r="G82" s="143">
        <v>0.75</v>
      </c>
      <c r="H82" s="110" t="str">
        <f t="shared" si="6"/>
        <v>48 años 4 meses 29 días</v>
      </c>
      <c r="I82" s="110" t="str">
        <f t="shared" si="7"/>
        <v>4 años 5 meses 5 días</v>
      </c>
      <c r="J82" s="195"/>
      <c r="K82" s="196"/>
      <c r="L82" s="197"/>
      <c r="M82" s="144">
        <f>32541.78</f>
        <v>32541.78</v>
      </c>
      <c r="N82" s="115">
        <f t="shared" si="10"/>
        <v>24406.334999999999</v>
      </c>
      <c r="O82" s="134"/>
      <c r="P82" s="134" t="s">
        <v>42</v>
      </c>
      <c r="Q82" s="115" t="s">
        <v>336</v>
      </c>
      <c r="R82" s="145">
        <v>37347</v>
      </c>
      <c r="S82" s="146">
        <v>45505</v>
      </c>
      <c r="T82" s="145">
        <v>27822</v>
      </c>
      <c r="U82" s="145">
        <v>43888</v>
      </c>
      <c r="V82" s="116">
        <v>34366</v>
      </c>
      <c r="W82" s="116">
        <v>35639</v>
      </c>
      <c r="X82" s="116"/>
      <c r="Y82" s="116"/>
      <c r="Z82" s="52"/>
      <c r="AA82" s="52"/>
      <c r="AB82" s="52"/>
      <c r="AC82" s="117"/>
      <c r="AD82" s="118" t="s">
        <v>1032</v>
      </c>
      <c r="AE82" s="119" t="s">
        <v>36</v>
      </c>
      <c r="AF82" s="135" t="s">
        <v>37</v>
      </c>
      <c r="AH82" s="118"/>
      <c r="AI82" s="118"/>
      <c r="AJ82" s="118"/>
      <c r="AL82" s="118"/>
      <c r="AM82" s="118"/>
      <c r="AN82" s="118"/>
    </row>
    <row r="83" spans="1:40" s="93" customFormat="1" ht="50.1" customHeight="1" x14ac:dyDescent="0.25">
      <c r="A83" s="110">
        <v>65</v>
      </c>
      <c r="B83" s="139"/>
      <c r="C83" s="140" t="s">
        <v>87</v>
      </c>
      <c r="D83" s="140" t="s">
        <v>2641</v>
      </c>
      <c r="E83" s="141" t="s">
        <v>2642</v>
      </c>
      <c r="F83" s="142" t="str">
        <f t="shared" si="12"/>
        <v>27 años 11 meses 0 días</v>
      </c>
      <c r="G83" s="143">
        <v>0.8</v>
      </c>
      <c r="H83" s="110" t="str">
        <f t="shared" si="6"/>
        <v>44 años 1 meses 8 días</v>
      </c>
      <c r="I83" s="110" t="str">
        <f t="shared" si="7"/>
        <v>0 años 5 meses 5 días</v>
      </c>
      <c r="J83" s="195"/>
      <c r="K83" s="196"/>
      <c r="L83" s="197"/>
      <c r="M83" s="144">
        <f>32541.78</f>
        <v>32541.78</v>
      </c>
      <c r="N83" s="115">
        <f t="shared" si="10"/>
        <v>26033.423999999999</v>
      </c>
      <c r="O83" s="134"/>
      <c r="P83" s="134" t="s">
        <v>42</v>
      </c>
      <c r="Q83" s="115" t="s">
        <v>336</v>
      </c>
      <c r="R83" s="145">
        <v>35309</v>
      </c>
      <c r="S83" s="146">
        <v>45505</v>
      </c>
      <c r="T83" s="145">
        <v>29396</v>
      </c>
      <c r="U83" s="145">
        <v>45349</v>
      </c>
      <c r="V83" s="116"/>
      <c r="W83" s="116"/>
      <c r="X83" s="116"/>
      <c r="Y83" s="116"/>
      <c r="Z83" s="52"/>
      <c r="AA83" s="52"/>
      <c r="AB83" s="52"/>
      <c r="AC83" s="117"/>
      <c r="AD83" s="118" t="s">
        <v>268</v>
      </c>
      <c r="AE83" s="119" t="s">
        <v>36</v>
      </c>
      <c r="AF83" s="135" t="s">
        <v>37</v>
      </c>
      <c r="AH83" s="118"/>
      <c r="AI83" s="118"/>
      <c r="AJ83" s="118"/>
      <c r="AL83" s="118"/>
      <c r="AM83" s="118"/>
      <c r="AN83" s="118"/>
    </row>
    <row r="84" spans="1:40" s="93" customFormat="1" ht="50.1" customHeight="1" x14ac:dyDescent="0.25">
      <c r="A84" s="110">
        <v>66</v>
      </c>
      <c r="B84" s="139"/>
      <c r="C84" s="140" t="s">
        <v>87</v>
      </c>
      <c r="D84" s="140" t="s">
        <v>2643</v>
      </c>
      <c r="E84" s="141" t="s">
        <v>2644</v>
      </c>
      <c r="F84" s="142" t="str">
        <f t="shared" si="8"/>
        <v>31 años 2 meses 0 días</v>
      </c>
      <c r="G84" s="143">
        <v>0.88</v>
      </c>
      <c r="H84" s="110" t="str">
        <f t="shared" si="6"/>
        <v>48 años 5 meses 18 días</v>
      </c>
      <c r="I84" s="110" t="str">
        <f t="shared" si="7"/>
        <v>8 años 5 meses 0 días</v>
      </c>
      <c r="J84" s="195"/>
      <c r="K84" s="196"/>
      <c r="L84" s="197"/>
      <c r="M84" s="144">
        <f>34575.77+8000</f>
        <v>42575.77</v>
      </c>
      <c r="N84" s="115">
        <f t="shared" si="10"/>
        <v>37466.677599999995</v>
      </c>
      <c r="O84" s="134"/>
      <c r="P84" s="134" t="s">
        <v>42</v>
      </c>
      <c r="Q84" s="115" t="s">
        <v>336</v>
      </c>
      <c r="R84" s="145">
        <v>34121</v>
      </c>
      <c r="S84" s="146">
        <v>45505</v>
      </c>
      <c r="T84" s="145">
        <v>27804</v>
      </c>
      <c r="U84" s="145">
        <v>42430</v>
      </c>
      <c r="V84" s="116"/>
      <c r="W84" s="116"/>
      <c r="X84" s="116"/>
      <c r="Y84" s="116"/>
      <c r="Z84" s="52"/>
      <c r="AA84" s="52"/>
      <c r="AB84" s="52"/>
      <c r="AC84" s="117"/>
      <c r="AD84" s="118" t="s">
        <v>293</v>
      </c>
      <c r="AE84" s="119" t="s">
        <v>36</v>
      </c>
      <c r="AF84" s="135" t="s">
        <v>37</v>
      </c>
      <c r="AH84" s="118"/>
      <c r="AI84" s="118"/>
      <c r="AJ84" s="118"/>
      <c r="AL84" s="118"/>
      <c r="AM84" s="118"/>
      <c r="AN84" s="118"/>
    </row>
    <row r="85" spans="1:40" s="93" customFormat="1" ht="50.1" customHeight="1" x14ac:dyDescent="0.25">
      <c r="A85" s="110">
        <v>67</v>
      </c>
      <c r="B85" s="139"/>
      <c r="C85" s="140" t="s">
        <v>118</v>
      </c>
      <c r="D85" s="140" t="s">
        <v>2645</v>
      </c>
      <c r="E85" s="141" t="s">
        <v>2646</v>
      </c>
      <c r="F85" s="142" t="str">
        <f>DATEDIF(R85,S85,"y") + DATEDIF(V85,W85,"y") + DATEDIF(X85,Y85,"y") + DATEDIF(Z85,AA85,"y") + SUM(AH85) &amp; " años " &amp; DATEDIF(R85,S85,"ym") + DATEDIF(V85,W85,"ym") + DATEDIF(X85,Y85,"ym")  + DATEDIF(Z85,AA85,"ym") + SUM(AI85) - SUM(AM85) &amp; " meses " &amp; DATEDIF(R85,S85,"md") + DATEDIF(V85,W85,"md") + DATEDIF(X85,Y85,"md")  + DATEDIF(Z85,AA85,"md") - SUM(AN85) &amp; " días"</f>
        <v>20 años 7 meses 28 días</v>
      </c>
      <c r="G85" s="143">
        <v>0.625</v>
      </c>
      <c r="H85" s="110" t="str">
        <f t="shared" si="6"/>
        <v>63 años 4 meses 26 días</v>
      </c>
      <c r="I85" s="110" t="str">
        <f t="shared" si="7"/>
        <v>5 años 2 meses 17 días</v>
      </c>
      <c r="J85" s="195"/>
      <c r="K85" s="196"/>
      <c r="L85" s="197"/>
      <c r="M85" s="144">
        <v>26251.03</v>
      </c>
      <c r="N85" s="115">
        <f>M85*G85</f>
        <v>16406.893749999999</v>
      </c>
      <c r="O85" s="134" t="s">
        <v>2647</v>
      </c>
      <c r="P85" s="134" t="s">
        <v>33</v>
      </c>
      <c r="Q85" s="115" t="s">
        <v>338</v>
      </c>
      <c r="R85" s="145">
        <v>37154</v>
      </c>
      <c r="S85" s="146">
        <v>44699</v>
      </c>
      <c r="T85" s="145">
        <v>21541</v>
      </c>
      <c r="U85" s="145">
        <v>42795</v>
      </c>
      <c r="V85" s="116"/>
      <c r="W85" s="116"/>
      <c r="X85" s="116"/>
      <c r="Y85" s="116"/>
      <c r="Z85" s="52"/>
      <c r="AA85" s="52"/>
      <c r="AB85" s="52"/>
      <c r="AC85" s="117"/>
      <c r="AD85" s="118" t="s">
        <v>293</v>
      </c>
      <c r="AE85" s="119" t="s">
        <v>36</v>
      </c>
      <c r="AF85" s="135" t="s">
        <v>37</v>
      </c>
      <c r="AH85" s="118"/>
      <c r="AI85" s="118"/>
      <c r="AJ85" s="118"/>
      <c r="AL85" s="118"/>
      <c r="AM85" s="118"/>
      <c r="AN85" s="118"/>
    </row>
    <row r="86" spans="1:40" s="93" customFormat="1" ht="50.1" customHeight="1" x14ac:dyDescent="0.25">
      <c r="A86" s="110">
        <v>68</v>
      </c>
      <c r="B86" s="139"/>
      <c r="C86" s="140" t="s">
        <v>122</v>
      </c>
      <c r="D86" s="140" t="s">
        <v>2648</v>
      </c>
      <c r="E86" s="141" t="s">
        <v>2649</v>
      </c>
      <c r="F86" s="142" t="str">
        <f t="shared" ref="F86:F99" si="13">DATEDIF(R86,S86,"y") + DATEDIF(V86,W86,"y") + DATEDIF(X86,Y86,"y") + SUM(AH86) &amp; " años " &amp; DATEDIF(R86,S86,"ym") + DATEDIF(V86,W86,"ym") + DATEDIF(X86,Y86,"ym") + SUM(AI86) - SUM(AM86) &amp; " meses " &amp; DATEDIF(R86,S86,"md") + DATEDIF(V86,W86,"md") + DATEDIF(X86,Y86,"md") - SUM(AN86) &amp; " días"</f>
        <v>29 años 9 meses 17 días</v>
      </c>
      <c r="G86" s="143">
        <v>0.85</v>
      </c>
      <c r="H86" s="110" t="str">
        <f t="shared" ref="H86:H115" si="14">DATEDIF(T86,S86,"y") &amp; " años " &amp; DATEDIF(T86,S86,"ym") &amp; " meses " &amp; DATEDIF(T86,S86,"md") &amp; " días"</f>
        <v>48 años 7 meses 7 días</v>
      </c>
      <c r="I86" s="110" t="str">
        <f t="shared" ref="I86:I115" si="15">DATEDIF(U86,S86,"y") &amp; " años " &amp; DATEDIF(U86,S86,"ym") &amp; " meses " &amp; DATEDIF(U86,S86,"md") &amp; " días"</f>
        <v>6 años 5 meses 5 días</v>
      </c>
      <c r="J86" s="195"/>
      <c r="K86" s="196"/>
      <c r="L86" s="197"/>
      <c r="M86" s="144">
        <f>32541.78</f>
        <v>32541.78</v>
      </c>
      <c r="N86" s="115">
        <f t="shared" ref="N86:N98" si="16">M86*G86</f>
        <v>27660.512999999999</v>
      </c>
      <c r="O86" s="134"/>
      <c r="P86" s="134" t="s">
        <v>42</v>
      </c>
      <c r="Q86" s="115" t="s">
        <v>336</v>
      </c>
      <c r="R86" s="145">
        <v>36083</v>
      </c>
      <c r="S86" s="146">
        <v>45505</v>
      </c>
      <c r="T86" s="145">
        <v>27753</v>
      </c>
      <c r="U86" s="145">
        <v>43158</v>
      </c>
      <c r="V86" s="116">
        <v>34213</v>
      </c>
      <c r="W86" s="116">
        <v>35674</v>
      </c>
      <c r="X86" s="116"/>
      <c r="Y86" s="116"/>
      <c r="Z86" s="52"/>
      <c r="AA86" s="52"/>
      <c r="AB86" s="52"/>
      <c r="AC86" s="117"/>
      <c r="AD86" s="118" t="s">
        <v>268</v>
      </c>
      <c r="AE86" s="119" t="s">
        <v>36</v>
      </c>
      <c r="AF86" s="135" t="s">
        <v>37</v>
      </c>
      <c r="AH86" s="118"/>
      <c r="AI86" s="118"/>
      <c r="AJ86" s="118"/>
      <c r="AL86" s="118"/>
      <c r="AM86" s="118"/>
      <c r="AN86" s="118"/>
    </row>
    <row r="87" spans="1:40" s="93" customFormat="1" ht="50.1" customHeight="1" x14ac:dyDescent="0.25">
      <c r="A87" s="110">
        <v>69</v>
      </c>
      <c r="B87" s="139"/>
      <c r="C87" s="140" t="s">
        <v>122</v>
      </c>
      <c r="D87" s="140" t="s">
        <v>2650</v>
      </c>
      <c r="E87" s="141" t="s">
        <v>2651</v>
      </c>
      <c r="F87" s="142" t="str">
        <f t="shared" si="13"/>
        <v>31 años 2 meses 0 días</v>
      </c>
      <c r="G87" s="143">
        <v>0.88</v>
      </c>
      <c r="H87" s="110" t="str">
        <f t="shared" si="14"/>
        <v>55 años 4 meses 6 días</v>
      </c>
      <c r="I87" s="110" t="str">
        <f t="shared" si="15"/>
        <v>8 años 5 meses 0 días</v>
      </c>
      <c r="J87" s="195"/>
      <c r="K87" s="196"/>
      <c r="L87" s="197"/>
      <c r="M87" s="144">
        <f>32541.77</f>
        <v>32541.77</v>
      </c>
      <c r="N87" s="115">
        <f t="shared" si="16"/>
        <v>28636.757600000001</v>
      </c>
      <c r="O87" s="134"/>
      <c r="P87" s="134" t="s">
        <v>42</v>
      </c>
      <c r="Q87" s="115" t="s">
        <v>336</v>
      </c>
      <c r="R87" s="145">
        <v>34121</v>
      </c>
      <c r="S87" s="146">
        <v>45505</v>
      </c>
      <c r="T87" s="145">
        <v>25288</v>
      </c>
      <c r="U87" s="145">
        <v>42430</v>
      </c>
      <c r="V87" s="116"/>
      <c r="W87" s="116"/>
      <c r="X87" s="116"/>
      <c r="Y87" s="116"/>
      <c r="Z87" s="52"/>
      <c r="AA87" s="52"/>
      <c r="AB87" s="52"/>
      <c r="AC87" s="117"/>
      <c r="AD87" s="118" t="s">
        <v>293</v>
      </c>
      <c r="AE87" s="119" t="s">
        <v>36</v>
      </c>
      <c r="AF87" s="135" t="s">
        <v>37</v>
      </c>
      <c r="AH87" s="118"/>
      <c r="AI87" s="118"/>
      <c r="AJ87" s="118"/>
      <c r="AL87" s="118"/>
      <c r="AM87" s="118"/>
      <c r="AN87" s="118"/>
    </row>
    <row r="88" spans="1:40" s="93" customFormat="1" ht="50.1" customHeight="1" x14ac:dyDescent="0.25">
      <c r="A88" s="110">
        <v>70</v>
      </c>
      <c r="B88" s="139"/>
      <c r="C88" s="140" t="s">
        <v>122</v>
      </c>
      <c r="D88" s="140" t="s">
        <v>2652</v>
      </c>
      <c r="E88" s="141" t="s">
        <v>2653</v>
      </c>
      <c r="F88" s="142" t="str">
        <f t="shared" si="13"/>
        <v>24 años 0 meses 0 días</v>
      </c>
      <c r="G88" s="143">
        <v>0.7</v>
      </c>
      <c r="H88" s="110" t="str">
        <f t="shared" si="14"/>
        <v>54 años 7 meses 0 días</v>
      </c>
      <c r="I88" s="110" t="str">
        <f t="shared" si="15"/>
        <v>3 años 5 meses 5 días</v>
      </c>
      <c r="J88" s="195"/>
      <c r="K88" s="196"/>
      <c r="L88" s="197"/>
      <c r="M88" s="144">
        <f>31510.27</f>
        <v>31510.27</v>
      </c>
      <c r="N88" s="115">
        <f t="shared" si="16"/>
        <v>22057.188999999998</v>
      </c>
      <c r="O88" s="134"/>
      <c r="P88" s="134" t="s">
        <v>42</v>
      </c>
      <c r="Q88" s="115" t="s">
        <v>336</v>
      </c>
      <c r="R88" s="145">
        <v>36739</v>
      </c>
      <c r="S88" s="146">
        <v>45505</v>
      </c>
      <c r="T88" s="145">
        <v>25569</v>
      </c>
      <c r="U88" s="145">
        <v>44254</v>
      </c>
      <c r="V88" s="116"/>
      <c r="W88" s="116"/>
      <c r="X88" s="116"/>
      <c r="Y88" s="116"/>
      <c r="Z88" s="52"/>
      <c r="AA88" s="52"/>
      <c r="AB88" s="52"/>
      <c r="AC88" s="117"/>
      <c r="AD88" s="118" t="s">
        <v>268</v>
      </c>
      <c r="AE88" s="119" t="s">
        <v>36</v>
      </c>
      <c r="AF88" s="135" t="s">
        <v>37</v>
      </c>
      <c r="AH88" s="118"/>
      <c r="AI88" s="118"/>
      <c r="AJ88" s="118"/>
      <c r="AL88" s="118"/>
      <c r="AM88" s="118"/>
      <c r="AN88" s="118"/>
    </row>
    <row r="89" spans="1:40" s="93" customFormat="1" ht="50.1" customHeight="1" x14ac:dyDescent="0.25">
      <c r="A89" s="110">
        <v>71</v>
      </c>
      <c r="B89" s="139"/>
      <c r="C89" s="140" t="s">
        <v>122</v>
      </c>
      <c r="D89" s="140" t="s">
        <v>2654</v>
      </c>
      <c r="E89" s="141" t="s">
        <v>2655</v>
      </c>
      <c r="F89" s="142" t="str">
        <f t="shared" si="13"/>
        <v>20 años 3 meses 6 días</v>
      </c>
      <c r="G89" s="143">
        <v>0.6</v>
      </c>
      <c r="H89" s="110" t="str">
        <f t="shared" si="14"/>
        <v>43 años 6 meses 2 días</v>
      </c>
      <c r="I89" s="110" t="str">
        <f t="shared" si="15"/>
        <v>5 años 5 meses 0 días</v>
      </c>
      <c r="J89" s="195"/>
      <c r="K89" s="196"/>
      <c r="L89" s="197"/>
      <c r="M89" s="144">
        <f>32541.78</f>
        <v>32541.78</v>
      </c>
      <c r="N89" s="115">
        <f t="shared" si="16"/>
        <v>19525.067999999999</v>
      </c>
      <c r="O89" s="134"/>
      <c r="P89" s="134" t="s">
        <v>42</v>
      </c>
      <c r="Q89" s="115" t="s">
        <v>336</v>
      </c>
      <c r="R89" s="145">
        <v>38103</v>
      </c>
      <c r="S89" s="146">
        <v>45505</v>
      </c>
      <c r="T89" s="145">
        <v>29616</v>
      </c>
      <c r="U89" s="145">
        <v>43525</v>
      </c>
      <c r="V89" s="116"/>
      <c r="W89" s="116"/>
      <c r="X89" s="116"/>
      <c r="Y89" s="116"/>
      <c r="Z89" s="52"/>
      <c r="AA89" s="52"/>
      <c r="AB89" s="52"/>
      <c r="AC89" s="117"/>
      <c r="AD89" s="118" t="s">
        <v>293</v>
      </c>
      <c r="AE89" s="119" t="s">
        <v>36</v>
      </c>
      <c r="AF89" s="135" t="s">
        <v>37</v>
      </c>
      <c r="AH89" s="118"/>
      <c r="AI89" s="118"/>
      <c r="AJ89" s="118"/>
      <c r="AL89" s="118"/>
      <c r="AM89" s="118"/>
      <c r="AN89" s="118"/>
    </row>
    <row r="90" spans="1:40" s="93" customFormat="1" ht="50.1" customHeight="1" x14ac:dyDescent="0.25">
      <c r="A90" s="110">
        <v>72</v>
      </c>
      <c r="B90" s="139"/>
      <c r="C90" s="140" t="s">
        <v>122</v>
      </c>
      <c r="D90" s="140" t="s">
        <v>2656</v>
      </c>
      <c r="E90" s="141" t="s">
        <v>2657</v>
      </c>
      <c r="F90" s="142" t="str">
        <f t="shared" si="13"/>
        <v>27 años 2 meses 1 días</v>
      </c>
      <c r="G90" s="143">
        <v>0.77500000000000002</v>
      </c>
      <c r="H90" s="110" t="str">
        <f t="shared" si="14"/>
        <v>57 años 7 meses 5 días</v>
      </c>
      <c r="I90" s="110" t="str">
        <f t="shared" si="15"/>
        <v>8 años 5 meses 0 días</v>
      </c>
      <c r="J90" s="195"/>
      <c r="K90" s="196"/>
      <c r="L90" s="197"/>
      <c r="M90" s="144">
        <f>32541.78</f>
        <v>32541.78</v>
      </c>
      <c r="N90" s="115">
        <f t="shared" si="16"/>
        <v>25219.879499999999</v>
      </c>
      <c r="O90" s="134"/>
      <c r="P90" s="134" t="s">
        <v>42</v>
      </c>
      <c r="Q90" s="115" t="s">
        <v>336</v>
      </c>
      <c r="R90" s="145">
        <v>36800</v>
      </c>
      <c r="S90" s="146">
        <v>45505</v>
      </c>
      <c r="T90" s="145">
        <v>24468</v>
      </c>
      <c r="U90" s="145">
        <v>42430</v>
      </c>
      <c r="V90" s="116">
        <v>31503</v>
      </c>
      <c r="W90" s="116">
        <v>32722</v>
      </c>
      <c r="X90" s="116"/>
      <c r="Y90" s="116"/>
      <c r="Z90" s="52"/>
      <c r="AA90" s="52"/>
      <c r="AB90" s="52"/>
      <c r="AC90" s="117"/>
      <c r="AD90" s="118" t="s">
        <v>268</v>
      </c>
      <c r="AE90" s="119" t="s">
        <v>36</v>
      </c>
      <c r="AF90" s="135" t="s">
        <v>37</v>
      </c>
      <c r="AH90" s="118">
        <v>1</v>
      </c>
      <c r="AI90" s="118"/>
      <c r="AJ90" s="118"/>
      <c r="AL90" s="118"/>
      <c r="AM90" s="118">
        <v>12</v>
      </c>
      <c r="AN90" s="118"/>
    </row>
    <row r="91" spans="1:40" s="93" customFormat="1" ht="50.1" customHeight="1" x14ac:dyDescent="0.25">
      <c r="A91" s="110">
        <v>73</v>
      </c>
      <c r="B91" s="139"/>
      <c r="C91" s="140" t="s">
        <v>122</v>
      </c>
      <c r="D91" s="140" t="s">
        <v>2658</v>
      </c>
      <c r="E91" s="141" t="s">
        <v>2659</v>
      </c>
      <c r="F91" s="142" t="str">
        <f t="shared" si="13"/>
        <v>26 años 2 meses 13 días</v>
      </c>
      <c r="G91" s="143">
        <v>0.75</v>
      </c>
      <c r="H91" s="110" t="str">
        <f t="shared" si="14"/>
        <v>43 años 10 meses 28 días</v>
      </c>
      <c r="I91" s="110" t="str">
        <f t="shared" si="15"/>
        <v>6 años 5 meses 5 días</v>
      </c>
      <c r="J91" s="195"/>
      <c r="K91" s="196"/>
      <c r="L91" s="197"/>
      <c r="M91" s="144">
        <f>32541.77</f>
        <v>32541.77</v>
      </c>
      <c r="N91" s="115">
        <f t="shared" si="16"/>
        <v>24406.327499999999</v>
      </c>
      <c r="O91" s="134"/>
      <c r="P91" s="134" t="s">
        <v>42</v>
      </c>
      <c r="Q91" s="115" t="s">
        <v>336</v>
      </c>
      <c r="R91" s="145">
        <v>36008</v>
      </c>
      <c r="S91" s="146">
        <v>45505</v>
      </c>
      <c r="T91" s="145">
        <v>29468</v>
      </c>
      <c r="U91" s="145">
        <v>43158</v>
      </c>
      <c r="V91" s="116">
        <v>35674</v>
      </c>
      <c r="W91" s="116">
        <v>35748</v>
      </c>
      <c r="X91" s="116"/>
      <c r="Y91" s="116"/>
      <c r="Z91" s="52"/>
      <c r="AA91" s="52"/>
      <c r="AB91" s="52"/>
      <c r="AC91" s="117"/>
      <c r="AD91" s="118" t="s">
        <v>2660</v>
      </c>
      <c r="AE91" s="119" t="s">
        <v>36</v>
      </c>
      <c r="AF91" s="135" t="s">
        <v>37</v>
      </c>
      <c r="AH91" s="118"/>
      <c r="AI91" s="118"/>
      <c r="AJ91" s="118"/>
      <c r="AL91" s="118"/>
      <c r="AM91" s="118"/>
      <c r="AN91" s="118"/>
    </row>
    <row r="92" spans="1:40" s="93" customFormat="1" ht="50.1" customHeight="1" x14ac:dyDescent="0.25">
      <c r="A92" s="110">
        <v>74</v>
      </c>
      <c r="B92" s="139"/>
      <c r="C92" s="140" t="s">
        <v>122</v>
      </c>
      <c r="D92" s="140" t="s">
        <v>2661</v>
      </c>
      <c r="E92" s="141" t="s">
        <v>2662</v>
      </c>
      <c r="F92" s="142" t="str">
        <f t="shared" si="13"/>
        <v>26 años 3 meses 0 días</v>
      </c>
      <c r="G92" s="143">
        <v>0.75</v>
      </c>
      <c r="H92" s="110" t="str">
        <f t="shared" si="14"/>
        <v>42 años 10 meses 29 días</v>
      </c>
      <c r="I92" s="110" t="str">
        <f t="shared" si="15"/>
        <v>7 años 5 meses 0 días</v>
      </c>
      <c r="J92" s="195"/>
      <c r="K92" s="196"/>
      <c r="L92" s="197"/>
      <c r="M92" s="144">
        <f>32541.78</f>
        <v>32541.78</v>
      </c>
      <c r="N92" s="115">
        <f t="shared" si="16"/>
        <v>24406.334999999999</v>
      </c>
      <c r="O92" s="134"/>
      <c r="P92" s="134" t="s">
        <v>42</v>
      </c>
      <c r="Q92" s="115" t="s">
        <v>336</v>
      </c>
      <c r="R92" s="145">
        <v>35916</v>
      </c>
      <c r="S92" s="146">
        <v>45505</v>
      </c>
      <c r="T92" s="145">
        <v>29832</v>
      </c>
      <c r="U92" s="145">
        <v>42795</v>
      </c>
      <c r="V92" s="116"/>
      <c r="W92" s="116"/>
      <c r="X92" s="116"/>
      <c r="Y92" s="116"/>
      <c r="Z92" s="52"/>
      <c r="AA92" s="52"/>
      <c r="AB92" s="52"/>
      <c r="AC92" s="117"/>
      <c r="AD92" s="118" t="s">
        <v>1032</v>
      </c>
      <c r="AE92" s="119" t="s">
        <v>36</v>
      </c>
      <c r="AF92" s="135" t="s">
        <v>37</v>
      </c>
      <c r="AH92" s="118"/>
      <c r="AI92" s="118"/>
      <c r="AJ92" s="118"/>
      <c r="AL92" s="118"/>
      <c r="AM92" s="118"/>
      <c r="AN92" s="118"/>
    </row>
    <row r="93" spans="1:40" s="93" customFormat="1" ht="50.1" customHeight="1" x14ac:dyDescent="0.25">
      <c r="A93" s="110">
        <v>75</v>
      </c>
      <c r="B93" s="139"/>
      <c r="C93" s="140" t="s">
        <v>122</v>
      </c>
      <c r="D93" s="140" t="s">
        <v>2663</v>
      </c>
      <c r="E93" s="141" t="s">
        <v>2664</v>
      </c>
      <c r="F93" s="142" t="str">
        <f t="shared" si="13"/>
        <v>29 años 2 meses 30 días</v>
      </c>
      <c r="G93" s="143">
        <v>0.82499999999999996</v>
      </c>
      <c r="H93" s="110" t="str">
        <f t="shared" si="14"/>
        <v>51 años 7 meses 0 días</v>
      </c>
      <c r="I93" s="110" t="str">
        <f t="shared" si="15"/>
        <v>4 años 5 meses 5 días</v>
      </c>
      <c r="J93" s="195"/>
      <c r="K93" s="196"/>
      <c r="L93" s="197"/>
      <c r="M93" s="144">
        <f>31510.28</f>
        <v>31510.28</v>
      </c>
      <c r="N93" s="115">
        <f t="shared" si="16"/>
        <v>25995.980999999996</v>
      </c>
      <c r="O93" s="134"/>
      <c r="P93" s="134"/>
      <c r="Q93" s="115" t="s">
        <v>336</v>
      </c>
      <c r="R93" s="145">
        <v>34821</v>
      </c>
      <c r="S93" s="146">
        <v>45505</v>
      </c>
      <c r="T93" s="145">
        <v>26665</v>
      </c>
      <c r="U93" s="145">
        <v>43888</v>
      </c>
      <c r="V93" s="116"/>
      <c r="W93" s="116"/>
      <c r="X93" s="116"/>
      <c r="Y93" s="116"/>
      <c r="Z93" s="52"/>
      <c r="AA93" s="52"/>
      <c r="AB93" s="52"/>
      <c r="AC93" s="117"/>
      <c r="AD93" s="118" t="s">
        <v>268</v>
      </c>
      <c r="AE93" s="119" t="s">
        <v>36</v>
      </c>
      <c r="AF93" s="135" t="s">
        <v>37</v>
      </c>
      <c r="AH93" s="118"/>
      <c r="AI93" s="118"/>
      <c r="AJ93" s="118"/>
      <c r="AL93" s="118"/>
      <c r="AM93" s="118"/>
      <c r="AN93" s="118"/>
    </row>
    <row r="94" spans="1:40" s="93" customFormat="1" ht="50.1" customHeight="1" x14ac:dyDescent="0.25">
      <c r="A94" s="110">
        <v>76</v>
      </c>
      <c r="B94" s="139"/>
      <c r="C94" s="140" t="s">
        <v>122</v>
      </c>
      <c r="D94" s="140" t="s">
        <v>2665</v>
      </c>
      <c r="E94" s="141" t="s">
        <v>2666</v>
      </c>
      <c r="F94" s="142" t="str">
        <f t="shared" si="13"/>
        <v>25 años 4 meses 0 días</v>
      </c>
      <c r="G94" s="143">
        <v>0.72499999999999998</v>
      </c>
      <c r="H94" s="110" t="str">
        <f t="shared" si="14"/>
        <v>46 años 3 meses 16 días</v>
      </c>
      <c r="I94" s="110" t="str">
        <f t="shared" si="15"/>
        <v>2 años 5 meses 5 días</v>
      </c>
      <c r="J94" s="195"/>
      <c r="K94" s="196"/>
      <c r="L94" s="197"/>
      <c r="M94" s="144">
        <f>31510.28</f>
        <v>31510.28</v>
      </c>
      <c r="N94" s="115">
        <f t="shared" si="16"/>
        <v>22844.952999999998</v>
      </c>
      <c r="O94" s="134"/>
      <c r="P94" s="134" t="s">
        <v>42</v>
      </c>
      <c r="Q94" s="115" t="s">
        <v>336</v>
      </c>
      <c r="R94" s="145">
        <v>36251</v>
      </c>
      <c r="S94" s="146">
        <v>45505</v>
      </c>
      <c r="T94" s="145">
        <v>28596</v>
      </c>
      <c r="U94" s="145">
        <v>44619</v>
      </c>
      <c r="V94" s="116"/>
      <c r="W94" s="116"/>
      <c r="X94" s="116"/>
      <c r="Y94" s="116"/>
      <c r="Z94" s="52"/>
      <c r="AA94" s="52"/>
      <c r="AB94" s="52"/>
      <c r="AC94" s="117"/>
      <c r="AD94" s="118" t="s">
        <v>35</v>
      </c>
      <c r="AE94" s="119" t="s">
        <v>36</v>
      </c>
      <c r="AF94" s="135" t="s">
        <v>37</v>
      </c>
      <c r="AH94" s="118"/>
      <c r="AI94" s="118"/>
      <c r="AJ94" s="118"/>
      <c r="AL94" s="118"/>
      <c r="AM94" s="118"/>
      <c r="AN94" s="118"/>
    </row>
    <row r="95" spans="1:40" s="93" customFormat="1" ht="50.1" customHeight="1" x14ac:dyDescent="0.25">
      <c r="A95" s="110">
        <v>77</v>
      </c>
      <c r="B95" s="139"/>
      <c r="C95" s="140" t="s">
        <v>122</v>
      </c>
      <c r="D95" s="140" t="s">
        <v>2667</v>
      </c>
      <c r="E95" s="141" t="s">
        <v>2668</v>
      </c>
      <c r="F95" s="142" t="str">
        <f t="shared" si="13"/>
        <v>25 años 7 meses 25 días</v>
      </c>
      <c r="G95" s="143">
        <v>0.75</v>
      </c>
      <c r="H95" s="110" t="str">
        <f t="shared" si="14"/>
        <v>42 años 7 meses 20 días</v>
      </c>
      <c r="I95" s="110" t="str">
        <f t="shared" si="15"/>
        <v>4 años 5 meses 5 días</v>
      </c>
      <c r="J95" s="195"/>
      <c r="K95" s="196"/>
      <c r="L95" s="197"/>
      <c r="M95" s="144">
        <f>31510.28</f>
        <v>31510.28</v>
      </c>
      <c r="N95" s="115">
        <f t="shared" si="16"/>
        <v>23632.71</v>
      </c>
      <c r="O95" s="134"/>
      <c r="P95" s="134" t="s">
        <v>42</v>
      </c>
      <c r="Q95" s="115" t="s">
        <v>336</v>
      </c>
      <c r="R95" s="145">
        <v>39121</v>
      </c>
      <c r="S95" s="146">
        <v>45505</v>
      </c>
      <c r="T95" s="145">
        <v>29932</v>
      </c>
      <c r="U95" s="145">
        <v>43888</v>
      </c>
      <c r="V95" s="116">
        <v>35886</v>
      </c>
      <c r="W95" s="116">
        <v>38870</v>
      </c>
      <c r="X95" s="116"/>
      <c r="Y95" s="116"/>
      <c r="Z95" s="52"/>
      <c r="AA95" s="52"/>
      <c r="AB95" s="52"/>
      <c r="AC95" s="117"/>
      <c r="AD95" s="118" t="s">
        <v>134</v>
      </c>
      <c r="AE95" s="119" t="s">
        <v>36</v>
      </c>
      <c r="AF95" s="135" t="s">
        <v>37</v>
      </c>
      <c r="AH95" s="118"/>
      <c r="AI95" s="118"/>
      <c r="AJ95" s="118"/>
      <c r="AL95" s="118"/>
      <c r="AM95" s="118"/>
      <c r="AN95" s="118"/>
    </row>
    <row r="96" spans="1:40" s="93" customFormat="1" ht="50.1" customHeight="1" x14ac:dyDescent="0.25">
      <c r="A96" s="110">
        <v>78</v>
      </c>
      <c r="B96" s="139"/>
      <c r="C96" s="140" t="s">
        <v>122</v>
      </c>
      <c r="D96" s="140" t="s">
        <v>2669</v>
      </c>
      <c r="E96" s="141" t="s">
        <v>2670</v>
      </c>
      <c r="F96" s="142" t="str">
        <f t="shared" si="13"/>
        <v>22 años 0 meses 0 días</v>
      </c>
      <c r="G96" s="143">
        <v>0.65</v>
      </c>
      <c r="H96" s="110" t="str">
        <f t="shared" si="14"/>
        <v>55 años 3 meses 2 días</v>
      </c>
      <c r="I96" s="110" t="str">
        <f t="shared" si="15"/>
        <v>5 años 5 meses 0 días</v>
      </c>
      <c r="J96" s="195"/>
      <c r="K96" s="196"/>
      <c r="L96" s="197"/>
      <c r="M96" s="144">
        <f>32541.78</f>
        <v>32541.78</v>
      </c>
      <c r="N96" s="115">
        <f t="shared" si="16"/>
        <v>21152.156999999999</v>
      </c>
      <c r="O96" s="134"/>
      <c r="P96" s="134" t="s">
        <v>42</v>
      </c>
      <c r="Q96" s="115" t="s">
        <v>336</v>
      </c>
      <c r="R96" s="145">
        <v>37469</v>
      </c>
      <c r="S96" s="146">
        <v>45505</v>
      </c>
      <c r="T96" s="145">
        <v>25323</v>
      </c>
      <c r="U96" s="145">
        <v>43525</v>
      </c>
      <c r="V96" s="116"/>
      <c r="W96" s="116"/>
      <c r="X96" s="116"/>
      <c r="Y96" s="116"/>
      <c r="Z96" s="52"/>
      <c r="AA96" s="52"/>
      <c r="AB96" s="52"/>
      <c r="AC96" s="117"/>
      <c r="AD96" s="118" t="s">
        <v>35</v>
      </c>
      <c r="AE96" s="119" t="s">
        <v>36</v>
      </c>
      <c r="AF96" s="135" t="s">
        <v>37</v>
      </c>
      <c r="AH96" s="118"/>
      <c r="AI96" s="118"/>
      <c r="AJ96" s="118"/>
      <c r="AL96" s="118"/>
      <c r="AM96" s="118"/>
      <c r="AN96" s="118"/>
    </row>
    <row r="97" spans="1:40" s="93" customFormat="1" ht="50.1" customHeight="1" x14ac:dyDescent="0.25">
      <c r="A97" s="110">
        <v>79</v>
      </c>
      <c r="B97" s="139"/>
      <c r="C97" s="140" t="s">
        <v>122</v>
      </c>
      <c r="D97" s="140" t="s">
        <v>2671</v>
      </c>
      <c r="E97" s="141" t="s">
        <v>2672</v>
      </c>
      <c r="F97" s="142" t="str">
        <f t="shared" si="13"/>
        <v>24 años 1 meses 0 días</v>
      </c>
      <c r="G97" s="143">
        <v>0.7</v>
      </c>
      <c r="H97" s="110" t="str">
        <f t="shared" si="14"/>
        <v>45 años 1 meses 5 días</v>
      </c>
      <c r="I97" s="110" t="str">
        <f t="shared" si="15"/>
        <v>1 años 5 meses 5 días</v>
      </c>
      <c r="J97" s="195"/>
      <c r="K97" s="196"/>
      <c r="L97" s="197"/>
      <c r="M97" s="144">
        <f>31510.27</f>
        <v>31510.27</v>
      </c>
      <c r="N97" s="115">
        <f t="shared" si="16"/>
        <v>22057.188999999998</v>
      </c>
      <c r="O97" s="134"/>
      <c r="P97" s="134" t="s">
        <v>42</v>
      </c>
      <c r="Q97" s="115" t="s">
        <v>336</v>
      </c>
      <c r="R97" s="145">
        <v>36708</v>
      </c>
      <c r="S97" s="146">
        <v>45505</v>
      </c>
      <c r="T97" s="145">
        <v>29033</v>
      </c>
      <c r="U97" s="145">
        <v>44984</v>
      </c>
      <c r="V97" s="116"/>
      <c r="W97" s="116"/>
      <c r="X97" s="116"/>
      <c r="Y97" s="116"/>
      <c r="Z97" s="52"/>
      <c r="AA97" s="52"/>
      <c r="AB97" s="52"/>
      <c r="AC97" s="117"/>
      <c r="AD97" s="118" t="s">
        <v>293</v>
      </c>
      <c r="AE97" s="119" t="s">
        <v>36</v>
      </c>
      <c r="AF97" s="135" t="s">
        <v>37</v>
      </c>
      <c r="AH97" s="118"/>
      <c r="AI97" s="118"/>
      <c r="AJ97" s="118"/>
      <c r="AL97" s="118"/>
      <c r="AM97" s="118"/>
      <c r="AN97" s="118"/>
    </row>
    <row r="98" spans="1:40" s="93" customFormat="1" ht="50.1" customHeight="1" x14ac:dyDescent="0.25">
      <c r="A98" s="110">
        <v>80</v>
      </c>
      <c r="B98" s="139"/>
      <c r="C98" s="140" t="s">
        <v>122</v>
      </c>
      <c r="D98" s="140" t="s">
        <v>2673</v>
      </c>
      <c r="E98" s="141" t="s">
        <v>2674</v>
      </c>
      <c r="F98" s="142" t="str">
        <f t="shared" si="13"/>
        <v>25 años 5 meses 0 días</v>
      </c>
      <c r="G98" s="143">
        <v>0.72499999999999998</v>
      </c>
      <c r="H98" s="110" t="str">
        <f t="shared" si="14"/>
        <v>54 años 7 meses 0 días</v>
      </c>
      <c r="I98" s="110" t="str">
        <f t="shared" si="15"/>
        <v>9 años 5 meses 5 días</v>
      </c>
      <c r="J98" s="195"/>
      <c r="K98" s="196"/>
      <c r="L98" s="197"/>
      <c r="M98" s="144">
        <f>32541.78</f>
        <v>32541.78</v>
      </c>
      <c r="N98" s="115">
        <f t="shared" si="16"/>
        <v>23592.790499999999</v>
      </c>
      <c r="O98" s="134"/>
      <c r="P98" s="134" t="s">
        <v>42</v>
      </c>
      <c r="Q98" s="115" t="s">
        <v>336</v>
      </c>
      <c r="R98" s="145">
        <v>36220</v>
      </c>
      <c r="S98" s="146">
        <v>45505</v>
      </c>
      <c r="T98" s="145">
        <v>25569</v>
      </c>
      <c r="U98" s="145">
        <v>42062</v>
      </c>
      <c r="V98" s="116"/>
      <c r="W98" s="116"/>
      <c r="X98" s="116"/>
      <c r="Y98" s="116"/>
      <c r="Z98" s="52"/>
      <c r="AA98" s="52"/>
      <c r="AB98" s="52"/>
      <c r="AC98" s="117"/>
      <c r="AD98" s="118" t="s">
        <v>268</v>
      </c>
      <c r="AE98" s="119" t="s">
        <v>36</v>
      </c>
      <c r="AF98" s="135" t="s">
        <v>37</v>
      </c>
      <c r="AH98" s="118"/>
      <c r="AI98" s="118"/>
      <c r="AJ98" s="118"/>
      <c r="AL98" s="118"/>
      <c r="AM98" s="118"/>
      <c r="AN98" s="118"/>
    </row>
    <row r="99" spans="1:40" s="93" customFormat="1" ht="50.1" customHeight="1" x14ac:dyDescent="0.25">
      <c r="A99" s="110">
        <v>81</v>
      </c>
      <c r="B99" s="139"/>
      <c r="C99" s="140" t="s">
        <v>122</v>
      </c>
      <c r="D99" s="140" t="s">
        <v>2675</v>
      </c>
      <c r="E99" s="141" t="s">
        <v>2676</v>
      </c>
      <c r="F99" s="142" t="str">
        <f t="shared" si="13"/>
        <v>22 años 4 meses 0 días</v>
      </c>
      <c r="G99" s="143">
        <v>0.65</v>
      </c>
      <c r="H99" s="110" t="str">
        <f t="shared" si="14"/>
        <v>46 años 7 meses 0 días</v>
      </c>
      <c r="I99" s="110" t="str">
        <f t="shared" si="15"/>
        <v>2 años 5 meses 5 días</v>
      </c>
      <c r="J99" s="195"/>
      <c r="K99" s="196"/>
      <c r="L99" s="197"/>
      <c r="M99" s="144">
        <f>31510.28</f>
        <v>31510.28</v>
      </c>
      <c r="N99" s="115">
        <f>M99*G99</f>
        <v>20481.682000000001</v>
      </c>
      <c r="O99" s="134"/>
      <c r="P99" s="134" t="s">
        <v>42</v>
      </c>
      <c r="Q99" s="115" t="s">
        <v>336</v>
      </c>
      <c r="R99" s="145">
        <v>37347</v>
      </c>
      <c r="S99" s="146">
        <v>45505</v>
      </c>
      <c r="T99" s="145">
        <v>28491</v>
      </c>
      <c r="U99" s="145">
        <v>44619</v>
      </c>
      <c r="V99" s="116"/>
      <c r="W99" s="116"/>
      <c r="X99" s="116"/>
      <c r="Y99" s="116"/>
      <c r="Z99" s="52"/>
      <c r="AA99" s="52"/>
      <c r="AB99" s="52"/>
      <c r="AC99" s="117"/>
      <c r="AD99" s="118" t="s">
        <v>134</v>
      </c>
      <c r="AE99" s="119" t="s">
        <v>36</v>
      </c>
      <c r="AF99" s="135" t="s">
        <v>37</v>
      </c>
      <c r="AH99" s="118"/>
      <c r="AI99" s="118"/>
      <c r="AJ99" s="118"/>
      <c r="AL99" s="118"/>
      <c r="AM99" s="118"/>
      <c r="AN99" s="118"/>
    </row>
    <row r="100" spans="1:40" s="93" customFormat="1" ht="50.1" customHeight="1" x14ac:dyDescent="0.25">
      <c r="A100" s="110">
        <v>82</v>
      </c>
      <c r="B100" s="139"/>
      <c r="C100" s="140" t="s">
        <v>2071</v>
      </c>
      <c r="D100" s="140" t="s">
        <v>2677</v>
      </c>
      <c r="E100" s="141" t="s">
        <v>2678</v>
      </c>
      <c r="F100" s="142" t="str">
        <f>DATEDIF(R100,S100,"y") + DATEDIF(V100,W100,"y") + DATEDIF(X100,Y100,"y") + DATEDIF(Z100,AA100,"y") + SUM(AH100) &amp; " años " &amp; DATEDIF(R100,S100,"ym") + DATEDIF(V100,W100,"ym") + DATEDIF(X100,Y100,"ym")  + DATEDIF(Z100,AA100,"ym") + SUM(AI100) - SUM(AM100) &amp; " meses " &amp; DATEDIF(R100,S100,"md") + DATEDIF(V100,W100,"md") + DATEDIF(X100,Y100,"md")  + DATEDIF(Z100,AA100,"md") - SUM(AN100) &amp; " días"</f>
        <v>24 años 7 meses 28 días</v>
      </c>
      <c r="G100" s="143">
        <v>0.72499999999999998</v>
      </c>
      <c r="H100" s="110" t="str">
        <f t="shared" si="14"/>
        <v>43 años 9 meses 20 días</v>
      </c>
      <c r="I100" s="110" t="str">
        <f t="shared" si="15"/>
        <v>3 años 0 meses 20 días</v>
      </c>
      <c r="J100" s="195"/>
      <c r="K100" s="196"/>
      <c r="L100" s="197"/>
      <c r="M100" s="144">
        <f>31510.28</f>
        <v>31510.28</v>
      </c>
      <c r="N100" s="115">
        <f>M100*G100</f>
        <v>22844.952999999998</v>
      </c>
      <c r="O100" s="134" t="s">
        <v>2679</v>
      </c>
      <c r="P100" s="134" t="s">
        <v>33</v>
      </c>
      <c r="Q100" s="115" t="s">
        <v>338</v>
      </c>
      <c r="R100" s="145">
        <v>37316</v>
      </c>
      <c r="S100" s="146">
        <v>45369</v>
      </c>
      <c r="T100" s="145">
        <v>29368</v>
      </c>
      <c r="U100" s="145">
        <v>44254</v>
      </c>
      <c r="V100" s="116">
        <v>34973</v>
      </c>
      <c r="W100" s="116">
        <v>35927</v>
      </c>
      <c r="X100" s="116"/>
      <c r="Y100" s="116"/>
      <c r="Z100" s="52"/>
      <c r="AA100" s="52"/>
      <c r="AB100" s="52"/>
      <c r="AC100" s="117"/>
      <c r="AD100" s="118" t="s">
        <v>268</v>
      </c>
      <c r="AE100" s="119" t="s">
        <v>36</v>
      </c>
      <c r="AF100" s="135" t="s">
        <v>37</v>
      </c>
      <c r="AH100" s="118"/>
      <c r="AI100" s="118"/>
      <c r="AJ100" s="118"/>
      <c r="AL100" s="118"/>
      <c r="AM100" s="118"/>
      <c r="AN100" s="118"/>
    </row>
    <row r="101" spans="1:40" s="93" customFormat="1" ht="50.1" customHeight="1" x14ac:dyDescent="0.25">
      <c r="A101" s="110">
        <v>83</v>
      </c>
      <c r="B101" s="139"/>
      <c r="C101" s="140" t="s">
        <v>145</v>
      </c>
      <c r="D101" s="140" t="s">
        <v>2680</v>
      </c>
      <c r="E101" s="141" t="s">
        <v>2681</v>
      </c>
      <c r="F101" s="142" t="str">
        <f t="shared" ref="F101:F105" si="17">DATEDIF(R101,S101,"y") + DATEDIF(V101,W101,"y") + DATEDIF(X101,Y101,"y") + SUM(AH101) &amp; " años " &amp; DATEDIF(R101,S101,"ym") + DATEDIF(V101,W101,"ym") + DATEDIF(X101,Y101,"ym") + SUM(AI101) - SUM(AM101) &amp; " meses " &amp; DATEDIF(R101,S101,"md") + DATEDIF(V101,W101,"md") + DATEDIF(X101,Y101,"md") - SUM(AN101) &amp; " días"</f>
        <v>26 años 4 meses 17 días</v>
      </c>
      <c r="G101" s="143">
        <v>0.75</v>
      </c>
      <c r="H101" s="110" t="str">
        <f t="shared" si="14"/>
        <v>54 años 4 meses 8 días</v>
      </c>
      <c r="I101" s="110" t="str">
        <f t="shared" si="15"/>
        <v>9 años 5 meses 5 días</v>
      </c>
      <c r="J101" s="195"/>
      <c r="K101" s="196"/>
      <c r="L101" s="197"/>
      <c r="M101" s="144">
        <f>31510.28</f>
        <v>31510.28</v>
      </c>
      <c r="N101" s="115">
        <f t="shared" ref="N101:N106" si="18">M101*G101</f>
        <v>23632.71</v>
      </c>
      <c r="O101" s="134"/>
      <c r="P101" s="134" t="s">
        <v>42</v>
      </c>
      <c r="Q101" s="115" t="s">
        <v>336</v>
      </c>
      <c r="R101" s="145">
        <v>35869</v>
      </c>
      <c r="S101" s="146">
        <v>45505</v>
      </c>
      <c r="T101" s="145">
        <v>25651</v>
      </c>
      <c r="U101" s="145">
        <v>42062</v>
      </c>
      <c r="V101" s="116"/>
      <c r="W101" s="116"/>
      <c r="X101" s="116"/>
      <c r="Y101" s="116"/>
      <c r="Z101" s="52"/>
      <c r="AA101" s="52"/>
      <c r="AB101" s="52"/>
      <c r="AC101" s="117"/>
      <c r="AD101" s="118" t="s">
        <v>1032</v>
      </c>
      <c r="AE101" s="119" t="s">
        <v>36</v>
      </c>
      <c r="AF101" s="135" t="s">
        <v>37</v>
      </c>
      <c r="AH101" s="118"/>
      <c r="AI101" s="118"/>
      <c r="AJ101" s="118"/>
      <c r="AL101" s="118"/>
      <c r="AM101" s="118"/>
      <c r="AN101" s="118"/>
    </row>
    <row r="102" spans="1:40" s="93" customFormat="1" ht="50.1" customHeight="1" x14ac:dyDescent="0.25">
      <c r="A102" s="110">
        <v>84</v>
      </c>
      <c r="B102" s="139"/>
      <c r="C102" s="140" t="s">
        <v>145</v>
      </c>
      <c r="D102" s="140" t="s">
        <v>2682</v>
      </c>
      <c r="E102" s="141" t="s">
        <v>2683</v>
      </c>
      <c r="F102" s="142" t="str">
        <f t="shared" si="17"/>
        <v>23 años 0 meses 22 días</v>
      </c>
      <c r="G102" s="143">
        <v>0.67500000000000004</v>
      </c>
      <c r="H102" s="110" t="str">
        <f t="shared" si="14"/>
        <v>52 años 3 meses 12 días</v>
      </c>
      <c r="I102" s="110" t="str">
        <f t="shared" si="15"/>
        <v>6 años 5 meses 5 días</v>
      </c>
      <c r="J102" s="195"/>
      <c r="K102" s="196"/>
      <c r="L102" s="197"/>
      <c r="M102" s="144">
        <f>31510.27</f>
        <v>31510.27</v>
      </c>
      <c r="N102" s="115">
        <f t="shared" si="18"/>
        <v>21269.432250000002</v>
      </c>
      <c r="O102" s="134"/>
      <c r="P102" s="134" t="s">
        <v>42</v>
      </c>
      <c r="Q102" s="115" t="s">
        <v>336</v>
      </c>
      <c r="R102" s="145">
        <v>38543</v>
      </c>
      <c r="S102" s="146">
        <v>45505</v>
      </c>
      <c r="T102" s="145">
        <v>26409</v>
      </c>
      <c r="U102" s="145">
        <v>43158</v>
      </c>
      <c r="V102" s="116">
        <v>34151</v>
      </c>
      <c r="W102" s="116">
        <v>35612</v>
      </c>
      <c r="X102" s="116"/>
      <c r="Y102" s="116"/>
      <c r="Z102" s="52"/>
      <c r="AA102" s="52"/>
      <c r="AB102" s="52"/>
      <c r="AC102" s="117"/>
      <c r="AD102" s="118" t="s">
        <v>268</v>
      </c>
      <c r="AE102" s="119" t="s">
        <v>36</v>
      </c>
      <c r="AF102" s="135" t="s">
        <v>37</v>
      </c>
      <c r="AH102" s="118"/>
      <c r="AI102" s="118"/>
      <c r="AJ102" s="118"/>
      <c r="AL102" s="118"/>
      <c r="AM102" s="118"/>
      <c r="AN102" s="118"/>
    </row>
    <row r="103" spans="1:40" s="93" customFormat="1" ht="50.1" customHeight="1" x14ac:dyDescent="0.25">
      <c r="A103" s="110">
        <v>85</v>
      </c>
      <c r="B103" s="139"/>
      <c r="C103" s="140" t="s">
        <v>145</v>
      </c>
      <c r="D103" s="140" t="s">
        <v>2684</v>
      </c>
      <c r="E103" s="141" t="s">
        <v>2685</v>
      </c>
      <c r="F103" s="142" t="str">
        <f t="shared" si="17"/>
        <v>21 años 3 meses 0 días</v>
      </c>
      <c r="G103" s="143">
        <v>0.625</v>
      </c>
      <c r="H103" s="110" t="str">
        <f t="shared" si="14"/>
        <v>48 años 9 meses 21 días</v>
      </c>
      <c r="I103" s="110" t="str">
        <f t="shared" si="15"/>
        <v>5 años 5 meses 0 días</v>
      </c>
      <c r="J103" s="195"/>
      <c r="K103" s="196"/>
      <c r="L103" s="197"/>
      <c r="M103" s="144">
        <f>31510.27</f>
        <v>31510.27</v>
      </c>
      <c r="N103" s="115">
        <f t="shared" si="18"/>
        <v>19693.918750000001</v>
      </c>
      <c r="O103" s="134"/>
      <c r="P103" s="134" t="s">
        <v>42</v>
      </c>
      <c r="Q103" s="115" t="s">
        <v>336</v>
      </c>
      <c r="R103" s="145">
        <v>37742</v>
      </c>
      <c r="S103" s="146">
        <v>45505</v>
      </c>
      <c r="T103" s="145">
        <v>27678</v>
      </c>
      <c r="U103" s="145">
        <v>43525</v>
      </c>
      <c r="V103" s="116"/>
      <c r="W103" s="116"/>
      <c r="X103" s="116"/>
      <c r="Y103" s="116"/>
      <c r="Z103" s="52"/>
      <c r="AA103" s="52"/>
      <c r="AB103" s="52"/>
      <c r="AC103" s="117"/>
      <c r="AD103" s="118" t="s">
        <v>268</v>
      </c>
      <c r="AE103" s="119" t="s">
        <v>36</v>
      </c>
      <c r="AF103" s="135" t="s">
        <v>37</v>
      </c>
      <c r="AH103" s="118"/>
      <c r="AI103" s="118"/>
      <c r="AJ103" s="118"/>
      <c r="AL103" s="118"/>
      <c r="AM103" s="118"/>
      <c r="AN103" s="118"/>
    </row>
    <row r="104" spans="1:40" s="93" customFormat="1" ht="50.1" customHeight="1" x14ac:dyDescent="0.25">
      <c r="A104" s="110">
        <v>86</v>
      </c>
      <c r="B104" s="139"/>
      <c r="C104" s="140" t="s">
        <v>145</v>
      </c>
      <c r="D104" s="140" t="s">
        <v>2686</v>
      </c>
      <c r="E104" s="141" t="s">
        <v>2687</v>
      </c>
      <c r="F104" s="142" t="str">
        <f t="shared" si="17"/>
        <v>24 años 5 meses 27 días</v>
      </c>
      <c r="G104" s="143">
        <v>0.7</v>
      </c>
      <c r="H104" s="110" t="str">
        <f t="shared" si="14"/>
        <v>56 años 1 meses 8 días</v>
      </c>
      <c r="I104" s="110" t="str">
        <f t="shared" si="15"/>
        <v>7 años 5 meses 0 días</v>
      </c>
      <c r="J104" s="195"/>
      <c r="K104" s="196"/>
      <c r="L104" s="197"/>
      <c r="M104" s="144">
        <f>31510.27</f>
        <v>31510.27</v>
      </c>
      <c r="N104" s="115">
        <f t="shared" si="18"/>
        <v>22057.188999999998</v>
      </c>
      <c r="O104" s="134"/>
      <c r="P104" s="134" t="s">
        <v>42</v>
      </c>
      <c r="Q104" s="115" t="s">
        <v>336</v>
      </c>
      <c r="R104" s="145">
        <v>36960</v>
      </c>
      <c r="S104" s="146">
        <v>45505</v>
      </c>
      <c r="T104" s="145">
        <v>25013</v>
      </c>
      <c r="U104" s="145">
        <v>42795</v>
      </c>
      <c r="V104" s="116">
        <v>31503</v>
      </c>
      <c r="W104" s="116">
        <v>31903</v>
      </c>
      <c r="X104" s="116"/>
      <c r="Y104" s="116"/>
      <c r="Z104" s="52"/>
      <c r="AA104" s="52"/>
      <c r="AB104" s="52"/>
      <c r="AC104" s="117"/>
      <c r="AD104" s="118" t="s">
        <v>293</v>
      </c>
      <c r="AE104" s="119" t="s">
        <v>36</v>
      </c>
      <c r="AF104" s="135" t="s">
        <v>37</v>
      </c>
      <c r="AH104" s="118"/>
      <c r="AI104" s="118"/>
      <c r="AJ104" s="118"/>
      <c r="AL104" s="118"/>
      <c r="AM104" s="118"/>
      <c r="AN104" s="118"/>
    </row>
    <row r="105" spans="1:40" s="93" customFormat="1" ht="50.1" customHeight="1" x14ac:dyDescent="0.25">
      <c r="A105" s="110">
        <v>87</v>
      </c>
      <c r="B105" s="139"/>
      <c r="C105" s="140" t="s">
        <v>145</v>
      </c>
      <c r="D105" s="140" t="s">
        <v>2688</v>
      </c>
      <c r="E105" s="141" t="s">
        <v>2689</v>
      </c>
      <c r="F105" s="142" t="str">
        <f t="shared" si="17"/>
        <v>23 años 10 meses 17 días</v>
      </c>
      <c r="G105" s="143">
        <v>0.7</v>
      </c>
      <c r="H105" s="110" t="str">
        <f t="shared" si="14"/>
        <v>62 años 5 meses 28 días</v>
      </c>
      <c r="I105" s="110" t="str">
        <f t="shared" si="15"/>
        <v>9 años 5 meses 5 días</v>
      </c>
      <c r="J105" s="195"/>
      <c r="K105" s="196"/>
      <c r="L105" s="197"/>
      <c r="M105" s="144">
        <f>31510.27</f>
        <v>31510.27</v>
      </c>
      <c r="N105" s="115">
        <f t="shared" si="18"/>
        <v>22057.188999999998</v>
      </c>
      <c r="O105" s="134"/>
      <c r="P105" s="134" t="s">
        <v>42</v>
      </c>
      <c r="Q105" s="115" t="s">
        <v>336</v>
      </c>
      <c r="R105" s="145">
        <v>36784</v>
      </c>
      <c r="S105" s="146">
        <v>45505</v>
      </c>
      <c r="T105" s="145">
        <v>22681</v>
      </c>
      <c r="U105" s="145">
        <v>42062</v>
      </c>
      <c r="V105" s="116"/>
      <c r="W105" s="116"/>
      <c r="X105" s="116"/>
      <c r="Y105" s="116"/>
      <c r="Z105" s="52"/>
      <c r="AA105" s="52"/>
      <c r="AB105" s="52"/>
      <c r="AC105" s="117"/>
      <c r="AD105" s="118" t="s">
        <v>293</v>
      </c>
      <c r="AE105" s="119" t="s">
        <v>36</v>
      </c>
      <c r="AF105" s="135" t="s">
        <v>37</v>
      </c>
      <c r="AH105" s="118"/>
      <c r="AI105" s="118"/>
      <c r="AJ105" s="118"/>
      <c r="AL105" s="118"/>
      <c r="AM105" s="118"/>
      <c r="AN105" s="118"/>
    </row>
    <row r="106" spans="1:40" s="93" customFormat="1" ht="50.1" customHeight="1" x14ac:dyDescent="0.25">
      <c r="A106" s="110">
        <v>88</v>
      </c>
      <c r="B106" s="139"/>
      <c r="C106" s="140" t="s">
        <v>145</v>
      </c>
      <c r="D106" s="140" t="s">
        <v>2690</v>
      </c>
      <c r="E106" s="141" t="s">
        <v>2691</v>
      </c>
      <c r="F106" s="142" t="str">
        <f t="shared" ref="F106" si="19">DATEDIF(R106,S106,"y") + DATEDIF(V106,W106,"y") + DATEDIF(X106,Y106,"y") + SUM(AH106) &amp; " años " &amp; DATEDIF(R106,S106,"ym") + DATEDIF(V106,W106,"ym") + DATEDIF(X106,Y106,"ym") + SUM(AI106) - SUM(AM106) &amp; " meses " &amp; DATEDIF(R106,S106,"md") + DATEDIF(V106,W106,"md") + DATEDIF(X106,Y106,"md") - SUM(AN106) &amp; " días"</f>
        <v>26 años 11 meses 0 días</v>
      </c>
      <c r="G106" s="143">
        <v>1</v>
      </c>
      <c r="H106" s="110" t="str">
        <f t="shared" si="14"/>
        <v>58 años 2 meses 8 días</v>
      </c>
      <c r="I106" s="110" t="str">
        <f t="shared" si="15"/>
        <v>9 años 5 meses 5 días</v>
      </c>
      <c r="J106" s="195"/>
      <c r="K106" s="196"/>
      <c r="L106" s="197"/>
      <c r="M106" s="144">
        <f>31510.28</f>
        <v>31510.28</v>
      </c>
      <c r="N106" s="115">
        <f t="shared" si="18"/>
        <v>31510.28</v>
      </c>
      <c r="O106" s="134" t="s">
        <v>2602</v>
      </c>
      <c r="P106" s="134" t="s">
        <v>33</v>
      </c>
      <c r="Q106" s="115" t="s">
        <v>337</v>
      </c>
      <c r="R106" s="145">
        <v>35674</v>
      </c>
      <c r="S106" s="146">
        <v>45505</v>
      </c>
      <c r="T106" s="145">
        <v>24251</v>
      </c>
      <c r="U106" s="145">
        <v>42062</v>
      </c>
      <c r="V106" s="116"/>
      <c r="W106" s="116"/>
      <c r="X106" s="116"/>
      <c r="Y106" s="116"/>
      <c r="Z106" s="52"/>
      <c r="AA106" s="52"/>
      <c r="AB106" s="52"/>
      <c r="AC106" s="117"/>
      <c r="AD106" s="118" t="s">
        <v>293</v>
      </c>
      <c r="AE106" s="119" t="s">
        <v>36</v>
      </c>
      <c r="AF106" s="135" t="s">
        <v>37</v>
      </c>
      <c r="AH106" s="118"/>
      <c r="AI106" s="118"/>
      <c r="AJ106" s="118"/>
      <c r="AL106" s="118"/>
      <c r="AM106" s="118"/>
      <c r="AN106" s="118"/>
    </row>
    <row r="107" spans="1:40" s="93" customFormat="1" ht="50.1" customHeight="1" x14ac:dyDescent="0.25">
      <c r="A107" s="110">
        <v>89</v>
      </c>
      <c r="B107" s="139"/>
      <c r="C107" s="140" t="s">
        <v>149</v>
      </c>
      <c r="D107" s="140" t="s">
        <v>2692</v>
      </c>
      <c r="E107" s="141" t="s">
        <v>2693</v>
      </c>
      <c r="F107" s="142" t="str">
        <f>DATEDIF(R107,S107,"y") + DATEDIF(V107,W107,"y") + DATEDIF(X107,Y107,"y") + DATEDIF(Z107,AA107,"y") + SUM(AH107) &amp; " años " &amp; DATEDIF(R107,S107,"ym") + DATEDIF(V107,W107,"ym") + DATEDIF(X107,Y107,"ym")  + DATEDIF(Z107,AA107,"ym") + SUM(AI107) - SUM(AM107) &amp; " meses " &amp; DATEDIF(R107,S107,"md") + DATEDIF(V107,W107,"md") + DATEDIF(X107,Y107,"md")  + DATEDIF(Z107,AA107,"md") - SUM(AN107) &amp; " días"</f>
        <v>20 años 0 meses 7 días</v>
      </c>
      <c r="G107" s="143">
        <v>0.6</v>
      </c>
      <c r="H107" s="110" t="str">
        <f t="shared" si="14"/>
        <v>41 años 8 meses 24 días</v>
      </c>
      <c r="I107" s="110" t="str">
        <f t="shared" si="15"/>
        <v>3 años 9 meses 18 días</v>
      </c>
      <c r="J107" s="195"/>
      <c r="K107" s="196"/>
      <c r="L107" s="197"/>
      <c r="M107" s="144">
        <v>22588.39</v>
      </c>
      <c r="N107" s="115">
        <f>M107*G107</f>
        <v>13553.034</v>
      </c>
      <c r="O107" s="134" t="s">
        <v>2360</v>
      </c>
      <c r="P107" s="134" t="s">
        <v>42</v>
      </c>
      <c r="Q107" s="115" t="s">
        <v>339</v>
      </c>
      <c r="R107" s="145">
        <v>37963</v>
      </c>
      <c r="S107" s="146">
        <v>45275</v>
      </c>
      <c r="T107" s="145">
        <v>30031</v>
      </c>
      <c r="U107" s="145">
        <v>43888</v>
      </c>
      <c r="V107" s="116"/>
      <c r="W107" s="116"/>
      <c r="X107" s="116"/>
      <c r="Y107" s="116"/>
      <c r="Z107" s="52"/>
      <c r="AA107" s="52"/>
      <c r="AB107" s="52"/>
      <c r="AC107" s="117"/>
      <c r="AD107" s="118" t="s">
        <v>268</v>
      </c>
      <c r="AE107" s="119" t="s">
        <v>36</v>
      </c>
      <c r="AF107" s="135" t="s">
        <v>37</v>
      </c>
      <c r="AH107" s="118"/>
      <c r="AI107" s="118"/>
      <c r="AJ107" s="118"/>
      <c r="AL107" s="118"/>
      <c r="AM107" s="118"/>
      <c r="AN107" s="118"/>
    </row>
    <row r="108" spans="1:40" s="93" customFormat="1" ht="50.1" customHeight="1" x14ac:dyDescent="0.25">
      <c r="A108" s="110">
        <v>90</v>
      </c>
      <c r="B108" s="139"/>
      <c r="C108" s="140" t="s">
        <v>149</v>
      </c>
      <c r="D108" s="140" t="s">
        <v>2694</v>
      </c>
      <c r="E108" s="141" t="s">
        <v>2695</v>
      </c>
      <c r="F108" s="142" t="str">
        <f t="shared" ref="F108:F112" si="20">DATEDIF(R108,S108,"y") + DATEDIF(V108,W108,"y") + DATEDIF(X108,Y108,"y") + DATEDIF(Z108,AA108,"y") + SUM(AH108) &amp; " años " &amp; DATEDIF(R108,S108,"ym") + DATEDIF(V108,W108,"ym") + DATEDIF(X108,Y108,"ym")  + DATEDIF(Z108,AA108,"ym") + SUM(AI108) - SUM(AM108) &amp; " meses " &amp; DATEDIF(R108,S108,"md") + DATEDIF(V108,W108,"md") + DATEDIF(X108,Y108,"md")  + DATEDIF(Z108,AA108,"md") - SUM(AN108) &amp; " días"</f>
        <v>19 años 11 meses 6 días</v>
      </c>
      <c r="G108" s="143">
        <v>0.6</v>
      </c>
      <c r="H108" s="110" t="str">
        <f t="shared" si="14"/>
        <v>37 años 3 meses 28 días</v>
      </c>
      <c r="I108" s="110" t="str">
        <f t="shared" si="15"/>
        <v>4 años 5 meses 6 días</v>
      </c>
      <c r="J108" s="195"/>
      <c r="K108" s="196"/>
      <c r="L108" s="197"/>
      <c r="M108" s="144">
        <v>14300</v>
      </c>
      <c r="N108" s="115">
        <v>10000</v>
      </c>
      <c r="O108" s="134" t="s">
        <v>2369</v>
      </c>
      <c r="P108" s="134" t="s">
        <v>42</v>
      </c>
      <c r="Q108" s="115" t="s">
        <v>339</v>
      </c>
      <c r="R108" s="145">
        <v>36770</v>
      </c>
      <c r="S108" s="146">
        <v>44050</v>
      </c>
      <c r="T108" s="145">
        <v>30416</v>
      </c>
      <c r="U108" s="145">
        <v>42430</v>
      </c>
      <c r="V108" s="116"/>
      <c r="W108" s="116"/>
      <c r="X108" s="116"/>
      <c r="Y108" s="116"/>
      <c r="Z108" s="52"/>
      <c r="AA108" s="52"/>
      <c r="AB108" s="52"/>
      <c r="AC108" s="117"/>
      <c r="AD108" s="118" t="s">
        <v>293</v>
      </c>
      <c r="AE108" s="119" t="s">
        <v>36</v>
      </c>
      <c r="AF108" s="135" t="s">
        <v>37</v>
      </c>
      <c r="AH108" s="118"/>
      <c r="AI108" s="118"/>
      <c r="AJ108" s="118"/>
      <c r="AL108" s="118"/>
      <c r="AM108" s="118"/>
      <c r="AN108" s="118"/>
    </row>
    <row r="109" spans="1:40" s="93" customFormat="1" ht="50.1" customHeight="1" x14ac:dyDescent="0.25">
      <c r="A109" s="110">
        <v>91</v>
      </c>
      <c r="B109" s="139"/>
      <c r="C109" s="140" t="s">
        <v>149</v>
      </c>
      <c r="D109" s="140" t="s">
        <v>2696</v>
      </c>
      <c r="E109" s="141" t="s">
        <v>2697</v>
      </c>
      <c r="F109" s="142" t="str">
        <f t="shared" si="20"/>
        <v>24 años 0 meses 4 días</v>
      </c>
      <c r="G109" s="143">
        <v>0.7</v>
      </c>
      <c r="H109" s="110" t="str">
        <f t="shared" si="14"/>
        <v>46 años 2 meses 5 días</v>
      </c>
      <c r="I109" s="110" t="str">
        <f t="shared" si="15"/>
        <v>9 años 1 meses 9 días</v>
      </c>
      <c r="J109" s="195"/>
      <c r="K109" s="196"/>
      <c r="L109" s="197"/>
      <c r="M109" s="144">
        <f>31510.27</f>
        <v>31510.27</v>
      </c>
      <c r="N109" s="115">
        <f t="shared" ref="N109:N112" si="21">M109*G109</f>
        <v>22057.188999999998</v>
      </c>
      <c r="O109" s="134" t="s">
        <v>2360</v>
      </c>
      <c r="P109" s="134" t="s">
        <v>42</v>
      </c>
      <c r="Q109" s="115" t="s">
        <v>339</v>
      </c>
      <c r="R109" s="145">
        <v>36617</v>
      </c>
      <c r="S109" s="146">
        <v>45387</v>
      </c>
      <c r="T109" s="145">
        <v>28521</v>
      </c>
      <c r="U109" s="145">
        <v>42062</v>
      </c>
      <c r="V109" s="116"/>
      <c r="W109" s="116"/>
      <c r="X109" s="116"/>
      <c r="Y109" s="116"/>
      <c r="Z109" s="52"/>
      <c r="AA109" s="52"/>
      <c r="AB109" s="52"/>
      <c r="AC109" s="117"/>
      <c r="AD109" s="118" t="s">
        <v>268</v>
      </c>
      <c r="AE109" s="119" t="s">
        <v>36</v>
      </c>
      <c r="AF109" s="135" t="s">
        <v>37</v>
      </c>
      <c r="AH109" s="118"/>
      <c r="AI109" s="118"/>
      <c r="AJ109" s="118"/>
      <c r="AL109" s="118"/>
      <c r="AM109" s="118"/>
      <c r="AN109" s="118"/>
    </row>
    <row r="110" spans="1:40" s="93" customFormat="1" ht="50.1" customHeight="1" x14ac:dyDescent="0.25">
      <c r="A110" s="110">
        <v>92</v>
      </c>
      <c r="B110" s="139"/>
      <c r="C110" s="140" t="s">
        <v>149</v>
      </c>
      <c r="D110" s="140" t="s">
        <v>2698</v>
      </c>
      <c r="E110" s="141" t="s">
        <v>2699</v>
      </c>
      <c r="F110" s="142" t="str">
        <f t="shared" si="20"/>
        <v>24 años 0 meses 2 días</v>
      </c>
      <c r="G110" s="143">
        <v>0.7</v>
      </c>
      <c r="H110" s="110" t="str">
        <f t="shared" si="14"/>
        <v>55 años 2 meses 15 días</v>
      </c>
      <c r="I110" s="110" t="str">
        <f t="shared" si="15"/>
        <v>5 años 2 meses 2 días</v>
      </c>
      <c r="J110" s="195"/>
      <c r="K110" s="196"/>
      <c r="L110" s="197"/>
      <c r="M110" s="144">
        <f>31510.27</f>
        <v>31510.27</v>
      </c>
      <c r="N110" s="115">
        <f t="shared" si="21"/>
        <v>22057.188999999998</v>
      </c>
      <c r="O110" s="134" t="s">
        <v>2360</v>
      </c>
      <c r="P110" s="134" t="s">
        <v>42</v>
      </c>
      <c r="Q110" s="115" t="s">
        <v>339</v>
      </c>
      <c r="R110" s="145">
        <v>36647</v>
      </c>
      <c r="S110" s="146">
        <v>45415</v>
      </c>
      <c r="T110" s="145">
        <v>25252</v>
      </c>
      <c r="U110" s="145">
        <v>43525</v>
      </c>
      <c r="V110" s="116"/>
      <c r="W110" s="116"/>
      <c r="X110" s="116"/>
      <c r="Y110" s="116"/>
      <c r="Z110" s="52"/>
      <c r="AA110" s="52"/>
      <c r="AB110" s="52"/>
      <c r="AC110" s="117"/>
      <c r="AD110" s="118" t="s">
        <v>293</v>
      </c>
      <c r="AE110" s="119" t="s">
        <v>36</v>
      </c>
      <c r="AF110" s="135" t="s">
        <v>37</v>
      </c>
      <c r="AH110" s="118"/>
      <c r="AI110" s="118"/>
      <c r="AJ110" s="118"/>
      <c r="AL110" s="118"/>
      <c r="AM110" s="118"/>
      <c r="AN110" s="118"/>
    </row>
    <row r="111" spans="1:40" s="93" customFormat="1" ht="50.1" customHeight="1" x14ac:dyDescent="0.25">
      <c r="A111" s="110">
        <v>93</v>
      </c>
      <c r="B111" s="139"/>
      <c r="C111" s="140" t="s">
        <v>149</v>
      </c>
      <c r="D111" s="140" t="s">
        <v>2700</v>
      </c>
      <c r="E111" s="141" t="s">
        <v>2701</v>
      </c>
      <c r="F111" s="142" t="str">
        <f t="shared" si="20"/>
        <v>20 años 2 meses 12 días</v>
      </c>
      <c r="G111" s="143">
        <v>0.6</v>
      </c>
      <c r="H111" s="110" t="str">
        <f t="shared" si="14"/>
        <v>48 años 10 meses 16 días</v>
      </c>
      <c r="I111" s="110" t="str">
        <f t="shared" si="15"/>
        <v>4 años 3 meses 9 días</v>
      </c>
      <c r="J111" s="195"/>
      <c r="K111" s="196"/>
      <c r="L111" s="197"/>
      <c r="M111" s="144">
        <f>30394.94</f>
        <v>30394.94</v>
      </c>
      <c r="N111" s="115">
        <f t="shared" si="21"/>
        <v>18236.964</v>
      </c>
      <c r="O111" s="134" t="s">
        <v>2360</v>
      </c>
      <c r="P111" s="134" t="s">
        <v>42</v>
      </c>
      <c r="Q111" s="115" t="s">
        <v>339</v>
      </c>
      <c r="R111" s="145">
        <v>38070</v>
      </c>
      <c r="S111" s="146">
        <v>45448</v>
      </c>
      <c r="T111" s="145">
        <v>27595</v>
      </c>
      <c r="U111" s="145">
        <v>43888</v>
      </c>
      <c r="V111" s="116"/>
      <c r="W111" s="116"/>
      <c r="X111" s="116"/>
      <c r="Y111" s="116"/>
      <c r="Z111" s="52"/>
      <c r="AA111" s="52"/>
      <c r="AB111" s="52"/>
      <c r="AC111" s="117"/>
      <c r="AD111" s="118" t="s">
        <v>268</v>
      </c>
      <c r="AE111" s="119" t="s">
        <v>36</v>
      </c>
      <c r="AF111" s="135" t="s">
        <v>37</v>
      </c>
      <c r="AH111" s="118"/>
      <c r="AI111" s="118"/>
      <c r="AJ111" s="118"/>
      <c r="AL111" s="118"/>
      <c r="AM111" s="118"/>
      <c r="AN111" s="118"/>
    </row>
    <row r="112" spans="1:40" s="93" customFormat="1" ht="50.1" customHeight="1" x14ac:dyDescent="0.25">
      <c r="A112" s="110">
        <v>94</v>
      </c>
      <c r="B112" s="139"/>
      <c r="C112" s="140" t="s">
        <v>149</v>
      </c>
      <c r="D112" s="140" t="s">
        <v>2702</v>
      </c>
      <c r="E112" s="141" t="s">
        <v>2703</v>
      </c>
      <c r="F112" s="142" t="str">
        <f t="shared" si="20"/>
        <v>20 años 0 meses 4 días</v>
      </c>
      <c r="G112" s="143">
        <v>0.6</v>
      </c>
      <c r="H112" s="110" t="str">
        <f t="shared" si="14"/>
        <v>50 años 5 meses 5 días</v>
      </c>
      <c r="I112" s="110" t="str">
        <f t="shared" si="15"/>
        <v>4 años 1 meses 20 días</v>
      </c>
      <c r="J112" s="195"/>
      <c r="K112" s="196"/>
      <c r="L112" s="197"/>
      <c r="M112" s="144">
        <f>30394.94</f>
        <v>30394.94</v>
      </c>
      <c r="N112" s="115">
        <f t="shared" si="21"/>
        <v>18236.964</v>
      </c>
      <c r="O112" s="134" t="s">
        <v>2360</v>
      </c>
      <c r="P112" s="134" t="s">
        <v>42</v>
      </c>
      <c r="Q112" s="115" t="s">
        <v>339</v>
      </c>
      <c r="R112" s="145">
        <v>38089</v>
      </c>
      <c r="S112" s="146">
        <v>45398</v>
      </c>
      <c r="T112" s="145">
        <v>26979</v>
      </c>
      <c r="U112" s="145">
        <v>43888</v>
      </c>
      <c r="V112" s="116"/>
      <c r="W112" s="116"/>
      <c r="X112" s="116"/>
      <c r="Y112" s="116"/>
      <c r="Z112" s="52"/>
      <c r="AA112" s="52"/>
      <c r="AB112" s="52"/>
      <c r="AC112" s="117"/>
      <c r="AD112" s="118" t="s">
        <v>268</v>
      </c>
      <c r="AE112" s="119" t="s">
        <v>36</v>
      </c>
      <c r="AF112" s="135" t="s">
        <v>37</v>
      </c>
      <c r="AH112" s="118"/>
      <c r="AI112" s="118"/>
      <c r="AJ112" s="118"/>
      <c r="AL112" s="118"/>
      <c r="AM112" s="118"/>
      <c r="AN112" s="118"/>
    </row>
    <row r="113" spans="1:40" s="93" customFormat="1" ht="50.1" customHeight="1" x14ac:dyDescent="0.25">
      <c r="A113" s="110">
        <v>95</v>
      </c>
      <c r="B113" s="139"/>
      <c r="C113" s="140" t="s">
        <v>1314</v>
      </c>
      <c r="D113" s="140" t="s">
        <v>2704</v>
      </c>
      <c r="E113" s="141" t="s">
        <v>2705</v>
      </c>
      <c r="F113" s="142" t="str">
        <f t="shared" ref="F113" si="22">DATEDIF(R113,S113,"y") + DATEDIF(V113,W113,"y") + DATEDIF(X113,Y113,"y") + SUM(AH113) &amp; " años " &amp; DATEDIF(R113,S113,"ym") + DATEDIF(V113,W113,"ym") + DATEDIF(X113,Y113,"ym") + SUM(AI113) - SUM(AM113) &amp; " meses " &amp; DATEDIF(R113,S113,"md") + DATEDIF(V113,W113,"md") + DATEDIF(X113,Y113,"md") - SUM(AN113) &amp; " días"</f>
        <v>21 años 1 meses 23 días</v>
      </c>
      <c r="G113" s="143">
        <v>0.625</v>
      </c>
      <c r="H113" s="110" t="str">
        <f t="shared" si="14"/>
        <v>46 años 6 meses 28 días</v>
      </c>
      <c r="I113" s="110" t="str">
        <f t="shared" si="15"/>
        <v>8 años 5 meses 0 días</v>
      </c>
      <c r="J113" s="195"/>
      <c r="K113" s="196"/>
      <c r="L113" s="197"/>
      <c r="M113" s="144">
        <f>30394.93</f>
        <v>30394.93</v>
      </c>
      <c r="N113" s="115">
        <f>M113*G113</f>
        <v>18996.831249999999</v>
      </c>
      <c r="O113" s="134"/>
      <c r="P113" s="134" t="s">
        <v>42</v>
      </c>
      <c r="Q113" s="115" t="s">
        <v>336</v>
      </c>
      <c r="R113" s="145">
        <v>43282</v>
      </c>
      <c r="S113" s="146">
        <v>45505</v>
      </c>
      <c r="T113" s="145">
        <v>28494</v>
      </c>
      <c r="U113" s="145">
        <v>42430</v>
      </c>
      <c r="V113" s="116">
        <v>37712</v>
      </c>
      <c r="W113" s="116">
        <v>43214</v>
      </c>
      <c r="X113" s="116"/>
      <c r="Y113" s="116"/>
      <c r="Z113" s="52"/>
      <c r="AA113" s="52"/>
      <c r="AB113" s="52"/>
      <c r="AC113" s="117"/>
      <c r="AD113" s="118" t="s">
        <v>35</v>
      </c>
      <c r="AE113" s="119" t="s">
        <v>36</v>
      </c>
      <c r="AF113" s="135" t="s">
        <v>37</v>
      </c>
      <c r="AH113" s="118"/>
      <c r="AI113" s="118"/>
      <c r="AJ113" s="118"/>
      <c r="AL113" s="118"/>
      <c r="AM113" s="118"/>
      <c r="AN113" s="118"/>
    </row>
    <row r="114" spans="1:40" s="93" customFormat="1" ht="50.1" customHeight="1" x14ac:dyDescent="0.25">
      <c r="A114" s="110">
        <v>96</v>
      </c>
      <c r="B114" s="139"/>
      <c r="C114" s="140" t="s">
        <v>176</v>
      </c>
      <c r="D114" s="140" t="s">
        <v>2706</v>
      </c>
      <c r="E114" s="141" t="s">
        <v>2707</v>
      </c>
      <c r="F114" s="142" t="str">
        <f t="shared" ref="F114:F115" si="23">DATEDIF(R114,S114,"y") + DATEDIF(V114,W114,"y") + DATEDIF(X114,Y114,"y") + DATEDIF(Z114,AA114,"y") + SUM(AH114) &amp; " años " &amp; DATEDIF(R114,S114,"ym") + DATEDIF(V114,W114,"ym") + DATEDIF(X114,Y114,"ym")  + DATEDIF(Z114,AA114,"ym") + SUM(AI114) - SUM(AM114) &amp; " meses " &amp; DATEDIF(R114,S114,"md") + DATEDIF(V114,W114,"md") + DATEDIF(X114,Y114,"md")  + DATEDIF(Z114,AA114,"md") - SUM(AN114) &amp; " días"</f>
        <v>22 años 0 meses 4 días</v>
      </c>
      <c r="G114" s="143">
        <v>0.65</v>
      </c>
      <c r="H114" s="110" t="str">
        <f t="shared" si="14"/>
        <v>56 años 1 meses 28 días</v>
      </c>
      <c r="I114" s="110" t="str">
        <f t="shared" si="15"/>
        <v>10 años 1 meses 4 días</v>
      </c>
      <c r="J114" s="195"/>
      <c r="K114" s="196"/>
      <c r="L114" s="197"/>
      <c r="M114" s="144">
        <f>30394.94</f>
        <v>30394.94</v>
      </c>
      <c r="N114" s="115">
        <f t="shared" ref="N114:N115" si="24">M114*G114</f>
        <v>19756.710999999999</v>
      </c>
      <c r="O114" s="134" t="s">
        <v>2369</v>
      </c>
      <c r="P114" s="134" t="s">
        <v>42</v>
      </c>
      <c r="Q114" s="115" t="s">
        <v>339</v>
      </c>
      <c r="R114" s="145">
        <v>37347</v>
      </c>
      <c r="S114" s="146">
        <v>45387</v>
      </c>
      <c r="T114" s="145">
        <v>24876</v>
      </c>
      <c r="U114" s="145">
        <v>41699</v>
      </c>
      <c r="V114" s="116"/>
      <c r="W114" s="116"/>
      <c r="X114" s="116"/>
      <c r="Y114" s="116"/>
      <c r="Z114" s="52"/>
      <c r="AA114" s="52"/>
      <c r="AB114" s="52"/>
      <c r="AC114" s="117"/>
      <c r="AD114" s="118" t="s">
        <v>293</v>
      </c>
      <c r="AE114" s="119" t="s">
        <v>36</v>
      </c>
      <c r="AF114" s="135" t="s">
        <v>37</v>
      </c>
      <c r="AH114" s="118"/>
      <c r="AI114" s="118"/>
      <c r="AJ114" s="118"/>
      <c r="AL114" s="118"/>
      <c r="AM114" s="118"/>
      <c r="AN114" s="118"/>
    </row>
    <row r="115" spans="1:40" s="93" customFormat="1" ht="50.1" customHeight="1" x14ac:dyDescent="0.25">
      <c r="A115" s="110">
        <v>97</v>
      </c>
      <c r="B115" s="139"/>
      <c r="C115" s="140" t="s">
        <v>176</v>
      </c>
      <c r="D115" s="140" t="s">
        <v>2708</v>
      </c>
      <c r="E115" s="141" t="s">
        <v>2709</v>
      </c>
      <c r="F115" s="142" t="str">
        <f t="shared" si="23"/>
        <v>20 años 0 meses 25 días</v>
      </c>
      <c r="G115" s="143">
        <v>0.6</v>
      </c>
      <c r="H115" s="110" t="str">
        <f t="shared" si="14"/>
        <v>40 años 1 meses 13 días</v>
      </c>
      <c r="I115" s="110" t="str">
        <f t="shared" si="15"/>
        <v>8 años 0 meses 14 días</v>
      </c>
      <c r="J115" s="195"/>
      <c r="K115" s="196"/>
      <c r="L115" s="197"/>
      <c r="M115" s="144">
        <f>30394.94</f>
        <v>30394.94</v>
      </c>
      <c r="N115" s="115">
        <f t="shared" si="24"/>
        <v>18236.964</v>
      </c>
      <c r="O115" s="134" t="s">
        <v>2360</v>
      </c>
      <c r="P115" s="134" t="s">
        <v>42</v>
      </c>
      <c r="Q115" s="115" t="s">
        <v>339</v>
      </c>
      <c r="R115" s="145">
        <v>38384</v>
      </c>
      <c r="S115" s="146">
        <v>45366</v>
      </c>
      <c r="T115" s="145">
        <v>30714</v>
      </c>
      <c r="U115" s="145">
        <v>42430</v>
      </c>
      <c r="V115" s="116">
        <v>38037</v>
      </c>
      <c r="W115" s="116">
        <v>38383</v>
      </c>
      <c r="X115" s="116"/>
      <c r="Y115" s="116"/>
      <c r="Z115" s="52"/>
      <c r="AA115" s="52"/>
      <c r="AB115" s="52"/>
      <c r="AC115" s="117"/>
      <c r="AD115" s="118" t="s">
        <v>268</v>
      </c>
      <c r="AE115" s="119" t="s">
        <v>36</v>
      </c>
      <c r="AF115" s="135" t="s">
        <v>37</v>
      </c>
      <c r="AH115" s="118">
        <v>1</v>
      </c>
      <c r="AI115" s="118"/>
      <c r="AJ115" s="118"/>
      <c r="AL115" s="118"/>
      <c r="AM115" s="118">
        <v>12</v>
      </c>
      <c r="AN115" s="118"/>
    </row>
    <row r="117" spans="1:40" s="91" customFormat="1" x14ac:dyDescent="0.25">
      <c r="A117" s="198" t="s">
        <v>184</v>
      </c>
      <c r="B117" s="199"/>
      <c r="C117" s="199"/>
      <c r="D117" s="199"/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200"/>
      <c r="R117" s="138"/>
      <c r="S117" s="90"/>
      <c r="T117" s="90"/>
      <c r="Z117" s="52"/>
      <c r="AA117" s="52"/>
      <c r="AB117" s="52"/>
      <c r="AD117" s="92"/>
      <c r="AG117" s="93"/>
      <c r="AH117" s="187" t="s">
        <v>2</v>
      </c>
      <c r="AI117" s="188"/>
      <c r="AJ117" s="189"/>
      <c r="AL117" s="187" t="s">
        <v>3</v>
      </c>
      <c r="AM117" s="188"/>
      <c r="AN117" s="189"/>
    </row>
    <row r="118" spans="1:40" s="104" customFormat="1" ht="42.75" x14ac:dyDescent="0.25">
      <c r="A118" s="94" t="s">
        <v>4</v>
      </c>
      <c r="B118" s="94" t="s">
        <v>5</v>
      </c>
      <c r="C118" s="95" t="s">
        <v>6</v>
      </c>
      <c r="D118" s="95" t="s">
        <v>7</v>
      </c>
      <c r="E118" s="94" t="s">
        <v>8</v>
      </c>
      <c r="F118" s="96" t="s">
        <v>9</v>
      </c>
      <c r="G118" s="96" t="s">
        <v>10</v>
      </c>
      <c r="H118" s="95" t="s">
        <v>11</v>
      </c>
      <c r="I118" s="97" t="s">
        <v>12</v>
      </c>
      <c r="J118" s="182" t="s">
        <v>13</v>
      </c>
      <c r="K118" s="183"/>
      <c r="L118" s="98" t="s">
        <v>14</v>
      </c>
      <c r="M118" s="99" t="s">
        <v>15</v>
      </c>
      <c r="N118" s="99" t="s">
        <v>17</v>
      </c>
      <c r="O118" s="99" t="s">
        <v>18</v>
      </c>
      <c r="P118" s="99" t="s">
        <v>18</v>
      </c>
      <c r="Q118" s="99" t="s">
        <v>335</v>
      </c>
      <c r="R118" s="99" t="s">
        <v>1950</v>
      </c>
      <c r="S118" s="100" t="s">
        <v>19</v>
      </c>
      <c r="T118" s="100" t="s">
        <v>20</v>
      </c>
      <c r="U118" s="101" t="s">
        <v>21</v>
      </c>
      <c r="V118" s="95" t="s">
        <v>13</v>
      </c>
      <c r="W118" s="100" t="s">
        <v>19</v>
      </c>
      <c r="X118" s="100" t="s">
        <v>20</v>
      </c>
      <c r="Y118" s="100" t="s">
        <v>19</v>
      </c>
      <c r="Z118" s="100" t="s">
        <v>20</v>
      </c>
      <c r="AA118" s="52"/>
      <c r="AB118" s="52"/>
      <c r="AC118" s="102"/>
      <c r="AD118" s="100" t="s">
        <v>22</v>
      </c>
      <c r="AE118" s="100" t="s">
        <v>23</v>
      </c>
      <c r="AF118" s="100" t="s">
        <v>24</v>
      </c>
      <c r="AG118" s="93"/>
      <c r="AH118" s="103" t="s">
        <v>25</v>
      </c>
      <c r="AI118" s="103" t="s">
        <v>26</v>
      </c>
      <c r="AJ118" s="103" t="s">
        <v>27</v>
      </c>
      <c r="AK118" s="93"/>
      <c r="AL118" s="103" t="s">
        <v>25</v>
      </c>
      <c r="AM118" s="103" t="s">
        <v>26</v>
      </c>
      <c r="AN118" s="103" t="s">
        <v>28</v>
      </c>
    </row>
    <row r="119" spans="1:40" s="93" customFormat="1" ht="50.1" customHeight="1" x14ac:dyDescent="0.25">
      <c r="A119" s="110">
        <v>1</v>
      </c>
      <c r="B119" s="139"/>
      <c r="C119" s="140" t="s">
        <v>578</v>
      </c>
      <c r="D119" s="140" t="s">
        <v>2710</v>
      </c>
      <c r="E119" s="141" t="s">
        <v>2711</v>
      </c>
      <c r="F119" s="142" t="str">
        <f t="shared" ref="F119" si="25">DATEDIF(R119,S119,"y") + DATEDIF(V119,W119,"y") + DATEDIF(X119,Y119,"y") + SUM(AH119) &amp; " años " &amp; DATEDIF(R119,S119,"ym") + DATEDIF(V119,W119,"ym") + DATEDIF(X119,Y119,"ym") + SUM(AI119) - SUM(AM119) &amp; " meses " &amp; DATEDIF(R119,S119,"md") + DATEDIF(V119,W119,"md") + DATEDIF(X119,Y119,"md") - SUM(AN119) &amp; " días"</f>
        <v>31 años 6 meses 24 días</v>
      </c>
      <c r="G119" s="143">
        <v>1</v>
      </c>
      <c r="H119" s="110" t="str">
        <f t="shared" ref="H119:H163" si="26">DATEDIF(T119,S119,"y") &amp; " años " &amp; DATEDIF(T119,S119,"ym") &amp; " meses " &amp; DATEDIF(T119,S119,"md") &amp; " días"</f>
        <v>50 años 2 meses 16 días</v>
      </c>
      <c r="I119" s="110" t="str">
        <f t="shared" ref="I119:I162" si="27">DATEDIF(U119,S119,"y") &amp; " años " &amp; DATEDIF(U119,S119,"ym") &amp; " meses " &amp; DATEDIF(U119,S119,"md") &amp; " días"</f>
        <v>8 años 5 meses 5 días</v>
      </c>
      <c r="J119" s="195"/>
      <c r="K119" s="196"/>
      <c r="L119" s="197"/>
      <c r="M119" s="144">
        <v>150000</v>
      </c>
      <c r="N119" s="115">
        <f>M119*G119</f>
        <v>150000</v>
      </c>
      <c r="O119" s="134" t="s">
        <v>2712</v>
      </c>
      <c r="P119" s="134" t="s">
        <v>42</v>
      </c>
      <c r="Q119" s="115" t="s">
        <v>336</v>
      </c>
      <c r="R119" s="145">
        <v>33977</v>
      </c>
      <c r="S119" s="146">
        <v>45505</v>
      </c>
      <c r="T119" s="145">
        <v>27165</v>
      </c>
      <c r="U119" s="145">
        <v>42427</v>
      </c>
      <c r="V119" s="116"/>
      <c r="W119" s="116"/>
      <c r="X119" s="116"/>
      <c r="Y119" s="116"/>
      <c r="Z119" s="52"/>
      <c r="AA119" s="52"/>
      <c r="AB119" s="52"/>
      <c r="AC119" s="117"/>
      <c r="AD119" s="118" t="s">
        <v>268</v>
      </c>
      <c r="AE119" s="119" t="s">
        <v>36</v>
      </c>
      <c r="AF119" s="135" t="s">
        <v>37</v>
      </c>
      <c r="AH119" s="118"/>
      <c r="AI119" s="118"/>
      <c r="AJ119" s="118"/>
      <c r="AL119" s="118"/>
      <c r="AM119" s="118"/>
      <c r="AN119" s="118"/>
    </row>
    <row r="120" spans="1:40" s="93" customFormat="1" ht="50.1" customHeight="1" x14ac:dyDescent="0.25">
      <c r="A120" s="110">
        <v>2</v>
      </c>
      <c r="B120" s="139"/>
      <c r="C120" s="140" t="s">
        <v>2713</v>
      </c>
      <c r="D120" s="140" t="s">
        <v>2714</v>
      </c>
      <c r="E120" s="141" t="s">
        <v>2715</v>
      </c>
      <c r="F120" s="142" t="str">
        <f t="shared" ref="F120:F162" si="28">DATEDIF(R120,S120,"y") + DATEDIF(V120,W120,"y") + DATEDIF(X120,Y120,"y") + SUM(AH120) &amp; " años " &amp; DATEDIF(R120,S120,"ym") + DATEDIF(V120,W120,"ym") + DATEDIF(X120,Y120,"ym") + SUM(AI120) - SUM(AM120) &amp; " meses " &amp; DATEDIF(R120,S120,"md") + DATEDIF(V120,W120,"md") + DATEDIF(X120,Y120,"md") - SUM(AN120) &amp; " días"</f>
        <v>29 años 5 meses 11 días</v>
      </c>
      <c r="G120" s="143">
        <v>0.82499999999999996</v>
      </c>
      <c r="H120" s="110" t="str">
        <f t="shared" si="26"/>
        <v>47 años 0 meses 1 días</v>
      </c>
      <c r="I120" s="110" t="str">
        <f t="shared" si="27"/>
        <v>4 años 0 meses 14 días</v>
      </c>
      <c r="J120" s="195"/>
      <c r="K120" s="196"/>
      <c r="L120" s="197"/>
      <c r="M120" s="144">
        <v>70000</v>
      </c>
      <c r="N120" s="115">
        <f>M120*G120</f>
        <v>57750</v>
      </c>
      <c r="O120" s="134" t="s">
        <v>2412</v>
      </c>
      <c r="P120" s="134" t="s">
        <v>33</v>
      </c>
      <c r="Q120" s="115" t="s">
        <v>2944</v>
      </c>
      <c r="R120" s="145">
        <v>34608</v>
      </c>
      <c r="S120" s="146">
        <v>45363</v>
      </c>
      <c r="T120" s="145">
        <v>28195</v>
      </c>
      <c r="U120" s="145">
        <v>43888</v>
      </c>
      <c r="V120" s="116"/>
      <c r="W120" s="116"/>
      <c r="X120" s="116"/>
      <c r="Y120" s="116"/>
      <c r="Z120" s="52"/>
      <c r="AA120" s="52"/>
      <c r="AB120" s="52"/>
      <c r="AC120" s="117"/>
      <c r="AD120" s="118" t="s">
        <v>134</v>
      </c>
      <c r="AE120" s="119" t="s">
        <v>36</v>
      </c>
      <c r="AF120" s="135" t="s">
        <v>37</v>
      </c>
      <c r="AH120" s="118"/>
      <c r="AI120" s="118"/>
      <c r="AJ120" s="118"/>
      <c r="AL120" s="118"/>
      <c r="AM120" s="118"/>
      <c r="AN120" s="118"/>
    </row>
    <row r="121" spans="1:40" s="93" customFormat="1" ht="50.1" customHeight="1" x14ac:dyDescent="0.25">
      <c r="A121" s="110">
        <v>3</v>
      </c>
      <c r="B121" s="139"/>
      <c r="C121" s="140" t="s">
        <v>2713</v>
      </c>
      <c r="D121" s="140" t="s">
        <v>2716</v>
      </c>
      <c r="E121" s="141" t="s">
        <v>2717</v>
      </c>
      <c r="F121" s="142" t="str">
        <f t="shared" si="28"/>
        <v>29 años 3 meses 9 días</v>
      </c>
      <c r="G121" s="143">
        <v>0.82499999999999996</v>
      </c>
      <c r="H121" s="110" t="str">
        <f t="shared" si="26"/>
        <v>49 años 11 meses 29 días</v>
      </c>
      <c r="I121" s="110" t="str">
        <f t="shared" si="27"/>
        <v>5 años 1 meses 14 días</v>
      </c>
      <c r="J121" s="195"/>
      <c r="K121" s="196"/>
      <c r="L121" s="197"/>
      <c r="M121" s="144">
        <f>50275.71</f>
        <v>50275.71</v>
      </c>
      <c r="N121" s="115">
        <f>M121*G121</f>
        <v>41477.460749999998</v>
      </c>
      <c r="O121" s="134" t="s">
        <v>2412</v>
      </c>
      <c r="P121" s="134" t="s">
        <v>33</v>
      </c>
      <c r="Q121" s="115" t="s">
        <v>2944</v>
      </c>
      <c r="R121" s="145">
        <v>34700</v>
      </c>
      <c r="S121" s="146">
        <v>45392</v>
      </c>
      <c r="T121" s="145">
        <v>27131</v>
      </c>
      <c r="U121" s="145">
        <v>43523</v>
      </c>
      <c r="V121" s="116"/>
      <c r="W121" s="116"/>
      <c r="X121" s="116"/>
      <c r="Y121" s="116"/>
      <c r="Z121" s="52"/>
      <c r="AA121" s="52"/>
      <c r="AB121" s="52"/>
      <c r="AC121" s="117"/>
      <c r="AD121" s="118" t="s">
        <v>35</v>
      </c>
      <c r="AE121" s="119" t="s">
        <v>36</v>
      </c>
      <c r="AF121" s="135" t="s">
        <v>37</v>
      </c>
      <c r="AH121" s="118"/>
      <c r="AI121" s="118"/>
      <c r="AJ121" s="118"/>
      <c r="AL121" s="118"/>
      <c r="AM121" s="118"/>
      <c r="AN121" s="118"/>
    </row>
    <row r="122" spans="1:40" s="93" customFormat="1" ht="50.1" customHeight="1" x14ac:dyDescent="0.25">
      <c r="A122" s="110">
        <v>4</v>
      </c>
      <c r="B122" s="139"/>
      <c r="C122" s="140" t="s">
        <v>581</v>
      </c>
      <c r="D122" s="140" t="s">
        <v>2718</v>
      </c>
      <c r="E122" s="141" t="s">
        <v>2719</v>
      </c>
      <c r="F122" s="142" t="str">
        <f t="shared" si="28"/>
        <v>30 años 11 meses 0 días</v>
      </c>
      <c r="G122" s="143">
        <v>0.88</v>
      </c>
      <c r="H122" s="110" t="str">
        <f t="shared" si="26"/>
        <v>58 años 3 meses 2 días</v>
      </c>
      <c r="I122" s="110" t="str">
        <f t="shared" si="27"/>
        <v>6 años 5 meses 5 días</v>
      </c>
      <c r="J122" s="195"/>
      <c r="K122" s="196"/>
      <c r="L122" s="197"/>
      <c r="M122" s="144">
        <f>42907.51+16000</f>
        <v>58907.51</v>
      </c>
      <c r="N122" s="115">
        <f>M122*G122</f>
        <v>51838.608800000002</v>
      </c>
      <c r="O122" s="134"/>
      <c r="P122" s="134" t="s">
        <v>42</v>
      </c>
      <c r="Q122" s="115" t="s">
        <v>336</v>
      </c>
      <c r="R122" s="145">
        <v>34213</v>
      </c>
      <c r="S122" s="146">
        <v>45505</v>
      </c>
      <c r="T122" s="145">
        <v>24227</v>
      </c>
      <c r="U122" s="145">
        <v>43158</v>
      </c>
      <c r="V122" s="116"/>
      <c r="W122" s="116"/>
      <c r="X122" s="116"/>
      <c r="Y122" s="116"/>
      <c r="Z122" s="52"/>
      <c r="AA122" s="52"/>
      <c r="AB122" s="52"/>
      <c r="AC122" s="117"/>
      <c r="AD122" s="118" t="s">
        <v>48</v>
      </c>
      <c r="AE122" s="119" t="s">
        <v>36</v>
      </c>
      <c r="AF122" s="135" t="s">
        <v>37</v>
      </c>
      <c r="AH122" s="118"/>
      <c r="AI122" s="118"/>
      <c r="AJ122" s="118"/>
      <c r="AL122" s="118"/>
      <c r="AM122" s="118"/>
      <c r="AN122" s="118"/>
    </row>
    <row r="123" spans="1:40" s="93" customFormat="1" ht="50.1" customHeight="1" x14ac:dyDescent="0.25">
      <c r="A123" s="110">
        <v>5</v>
      </c>
      <c r="B123" s="139"/>
      <c r="C123" s="140" t="s">
        <v>186</v>
      </c>
      <c r="D123" s="140" t="s">
        <v>2720</v>
      </c>
      <c r="E123" s="141" t="s">
        <v>2721</v>
      </c>
      <c r="F123" s="142" t="str">
        <f t="shared" si="28"/>
        <v>29 años 4 meses 0 días</v>
      </c>
      <c r="G123" s="143">
        <v>0.82499999999999996</v>
      </c>
      <c r="H123" s="110" t="str">
        <f t="shared" si="26"/>
        <v>46 años 11 meses 8 días</v>
      </c>
      <c r="I123" s="110" t="str">
        <f t="shared" si="27"/>
        <v>5 años 5 meses 5 días</v>
      </c>
      <c r="J123" s="195"/>
      <c r="K123" s="196"/>
      <c r="L123" s="197"/>
      <c r="M123" s="144">
        <f>39234.82</f>
        <v>39234.82</v>
      </c>
      <c r="N123" s="115">
        <f>M123*G123</f>
        <v>32368.726499999997</v>
      </c>
      <c r="O123" s="134"/>
      <c r="P123" s="134" t="s">
        <v>42</v>
      </c>
      <c r="Q123" s="115" t="s">
        <v>336</v>
      </c>
      <c r="R123" s="145">
        <v>34790</v>
      </c>
      <c r="S123" s="146">
        <v>45505</v>
      </c>
      <c r="T123" s="145">
        <v>28361</v>
      </c>
      <c r="U123" s="145">
        <v>43523</v>
      </c>
      <c r="V123" s="116"/>
      <c r="W123" s="116"/>
      <c r="X123" s="116"/>
      <c r="Y123" s="116"/>
      <c r="Z123" s="52"/>
      <c r="AA123" s="52"/>
      <c r="AB123" s="52"/>
      <c r="AC123" s="117"/>
      <c r="AD123" s="118" t="s">
        <v>48</v>
      </c>
      <c r="AE123" s="119" t="s">
        <v>36</v>
      </c>
      <c r="AF123" s="135" t="s">
        <v>37</v>
      </c>
      <c r="AH123" s="118"/>
      <c r="AI123" s="118"/>
      <c r="AJ123" s="118"/>
      <c r="AL123" s="118"/>
      <c r="AM123" s="118"/>
      <c r="AN123" s="118"/>
    </row>
    <row r="124" spans="1:40" s="93" customFormat="1" ht="50.1" customHeight="1" x14ac:dyDescent="0.25">
      <c r="A124" s="110">
        <v>6</v>
      </c>
      <c r="B124" s="139"/>
      <c r="C124" s="140" t="s">
        <v>195</v>
      </c>
      <c r="D124" s="140" t="s">
        <v>2722</v>
      </c>
      <c r="E124" s="141" t="s">
        <v>2723</v>
      </c>
      <c r="F124" s="142" t="str">
        <f t="shared" si="28"/>
        <v>31 años 1 meses 0 días</v>
      </c>
      <c r="G124" s="143">
        <v>0.88</v>
      </c>
      <c r="H124" s="110" t="str">
        <f t="shared" si="26"/>
        <v>50 años 7 meses 21 días</v>
      </c>
      <c r="I124" s="110" t="str">
        <f t="shared" si="27"/>
        <v>5 años 5 meses 5 días</v>
      </c>
      <c r="J124" s="195"/>
      <c r="K124" s="196"/>
      <c r="L124" s="197"/>
      <c r="M124" s="144">
        <f>35615.53</f>
        <v>35615.53</v>
      </c>
      <c r="N124" s="115">
        <f t="shared" ref="N124:N128" si="29">M124*G124</f>
        <v>31341.666399999998</v>
      </c>
      <c r="O124" s="134"/>
      <c r="P124" s="134" t="s">
        <v>42</v>
      </c>
      <c r="Q124" s="115" t="s">
        <v>336</v>
      </c>
      <c r="R124" s="145">
        <v>34151</v>
      </c>
      <c r="S124" s="146">
        <v>45505</v>
      </c>
      <c r="T124" s="145">
        <v>27009</v>
      </c>
      <c r="U124" s="145">
        <v>43523</v>
      </c>
      <c r="V124" s="116"/>
      <c r="W124" s="116"/>
      <c r="X124" s="116"/>
      <c r="Y124" s="116"/>
      <c r="Z124" s="52"/>
      <c r="AA124" s="52"/>
      <c r="AB124" s="52"/>
      <c r="AC124" s="117"/>
      <c r="AD124" s="118" t="s">
        <v>48</v>
      </c>
      <c r="AE124" s="119" t="s">
        <v>36</v>
      </c>
      <c r="AF124" s="135" t="s">
        <v>37</v>
      </c>
      <c r="AH124" s="118"/>
      <c r="AI124" s="118"/>
      <c r="AJ124" s="118"/>
      <c r="AL124" s="118"/>
      <c r="AM124" s="118"/>
      <c r="AN124" s="118"/>
    </row>
    <row r="125" spans="1:40" s="93" customFormat="1" ht="50.1" customHeight="1" x14ac:dyDescent="0.25">
      <c r="A125" s="110">
        <v>7</v>
      </c>
      <c r="B125" s="139"/>
      <c r="C125" s="140" t="s">
        <v>195</v>
      </c>
      <c r="D125" s="140" t="s">
        <v>2724</v>
      </c>
      <c r="E125" s="141" t="s">
        <v>2725</v>
      </c>
      <c r="F125" s="142" t="str">
        <f t="shared" si="28"/>
        <v>31 años 2 meses 0 días</v>
      </c>
      <c r="G125" s="143">
        <v>0.88</v>
      </c>
      <c r="H125" s="110" t="str">
        <f t="shared" si="26"/>
        <v>49 años 7 meses 4 días</v>
      </c>
      <c r="I125" s="110" t="str">
        <f t="shared" si="27"/>
        <v>5 años 5 meses 5 días</v>
      </c>
      <c r="J125" s="195"/>
      <c r="K125" s="196"/>
      <c r="L125" s="197"/>
      <c r="M125" s="144">
        <f>35615.53</f>
        <v>35615.53</v>
      </c>
      <c r="N125" s="115">
        <f t="shared" si="29"/>
        <v>31341.666399999998</v>
      </c>
      <c r="O125" s="134"/>
      <c r="P125" s="134" t="s">
        <v>42</v>
      </c>
      <c r="Q125" s="115" t="s">
        <v>336</v>
      </c>
      <c r="R125" s="145">
        <v>34121</v>
      </c>
      <c r="S125" s="146">
        <v>45505</v>
      </c>
      <c r="T125" s="145">
        <v>27391</v>
      </c>
      <c r="U125" s="145">
        <v>43523</v>
      </c>
      <c r="V125" s="116"/>
      <c r="W125" s="116"/>
      <c r="X125" s="116"/>
      <c r="Y125" s="116"/>
      <c r="Z125" s="52"/>
      <c r="AA125" s="52"/>
      <c r="AB125" s="52"/>
      <c r="AC125" s="117"/>
      <c r="AD125" s="118" t="s">
        <v>48</v>
      </c>
      <c r="AE125" s="119" t="s">
        <v>36</v>
      </c>
      <c r="AF125" s="135" t="s">
        <v>37</v>
      </c>
      <c r="AH125" s="118"/>
      <c r="AI125" s="118"/>
      <c r="AJ125" s="118"/>
      <c r="AL125" s="118"/>
      <c r="AM125" s="118"/>
      <c r="AN125" s="118"/>
    </row>
    <row r="126" spans="1:40" s="93" customFormat="1" ht="50.1" customHeight="1" x14ac:dyDescent="0.25">
      <c r="A126" s="110">
        <v>8</v>
      </c>
      <c r="B126" s="139"/>
      <c r="C126" s="140" t="s">
        <v>195</v>
      </c>
      <c r="D126" s="140" t="s">
        <v>2726</v>
      </c>
      <c r="E126" s="141" t="s">
        <v>2727</v>
      </c>
      <c r="F126" s="142" t="str">
        <f t="shared" si="28"/>
        <v>29 años 10 meses 0 días</v>
      </c>
      <c r="G126" s="143">
        <v>0.85</v>
      </c>
      <c r="H126" s="110" t="str">
        <f t="shared" si="26"/>
        <v>49 años 0 meses 2 días</v>
      </c>
      <c r="I126" s="110" t="str">
        <f t="shared" si="27"/>
        <v>2 años 5 meses 5 días</v>
      </c>
      <c r="J126" s="195"/>
      <c r="K126" s="196"/>
      <c r="L126" s="197"/>
      <c r="M126" s="144">
        <v>34575.78</v>
      </c>
      <c r="N126" s="115">
        <f t="shared" si="29"/>
        <v>29389.412999999997</v>
      </c>
      <c r="O126" s="134"/>
      <c r="P126" s="134" t="s">
        <v>42</v>
      </c>
      <c r="Q126" s="115" t="s">
        <v>336</v>
      </c>
      <c r="R126" s="145">
        <v>34608</v>
      </c>
      <c r="S126" s="146">
        <v>45505</v>
      </c>
      <c r="T126" s="145">
        <v>27605</v>
      </c>
      <c r="U126" s="145">
        <v>44619</v>
      </c>
      <c r="V126" s="116"/>
      <c r="W126" s="116"/>
      <c r="X126" s="116"/>
      <c r="Y126" s="116"/>
      <c r="Z126" s="52"/>
      <c r="AA126" s="52"/>
      <c r="AB126" s="52"/>
      <c r="AC126" s="117"/>
      <c r="AD126" s="118" t="s">
        <v>48</v>
      </c>
      <c r="AE126" s="119" t="s">
        <v>36</v>
      </c>
      <c r="AF126" s="135" t="s">
        <v>37</v>
      </c>
      <c r="AH126" s="118"/>
      <c r="AI126" s="118"/>
      <c r="AJ126" s="118"/>
      <c r="AL126" s="118"/>
      <c r="AM126" s="118"/>
      <c r="AN126" s="118"/>
    </row>
    <row r="127" spans="1:40" s="93" customFormat="1" ht="50.1" customHeight="1" x14ac:dyDescent="0.25">
      <c r="A127" s="110">
        <v>9</v>
      </c>
      <c r="B127" s="139"/>
      <c r="C127" s="140" t="s">
        <v>195</v>
      </c>
      <c r="D127" s="140" t="s">
        <v>2728</v>
      </c>
      <c r="E127" s="141" t="s">
        <v>2729</v>
      </c>
      <c r="F127" s="142" t="str">
        <f t="shared" si="28"/>
        <v>29 años 7 meses 0 días</v>
      </c>
      <c r="G127" s="143">
        <v>0.85</v>
      </c>
      <c r="H127" s="110" t="str">
        <f t="shared" si="26"/>
        <v>49 años 8 meses 18 días</v>
      </c>
      <c r="I127" s="110" t="str">
        <f t="shared" si="27"/>
        <v>2 años 5 meses 5 días</v>
      </c>
      <c r="J127" s="195"/>
      <c r="K127" s="196"/>
      <c r="L127" s="197"/>
      <c r="M127" s="144">
        <v>34575.78</v>
      </c>
      <c r="N127" s="115">
        <f t="shared" si="29"/>
        <v>29389.412999999997</v>
      </c>
      <c r="O127" s="134"/>
      <c r="P127" s="134" t="s">
        <v>42</v>
      </c>
      <c r="Q127" s="115" t="s">
        <v>336</v>
      </c>
      <c r="R127" s="145">
        <v>34700</v>
      </c>
      <c r="S127" s="146">
        <v>45505</v>
      </c>
      <c r="T127" s="145">
        <v>27347</v>
      </c>
      <c r="U127" s="145">
        <v>44619</v>
      </c>
      <c r="V127" s="116"/>
      <c r="W127" s="116"/>
      <c r="X127" s="116"/>
      <c r="Y127" s="116"/>
      <c r="Z127" s="52"/>
      <c r="AA127" s="52"/>
      <c r="AB127" s="52"/>
      <c r="AC127" s="117"/>
      <c r="AD127" s="118" t="s">
        <v>48</v>
      </c>
      <c r="AE127" s="119" t="s">
        <v>36</v>
      </c>
      <c r="AF127" s="135" t="s">
        <v>37</v>
      </c>
      <c r="AH127" s="118"/>
      <c r="AI127" s="118"/>
      <c r="AJ127" s="118"/>
      <c r="AL127" s="118"/>
      <c r="AM127" s="118"/>
      <c r="AN127" s="118"/>
    </row>
    <row r="128" spans="1:40" s="93" customFormat="1" ht="50.1" customHeight="1" x14ac:dyDescent="0.25">
      <c r="A128" s="110">
        <v>10</v>
      </c>
      <c r="B128" s="139"/>
      <c r="C128" s="140" t="s">
        <v>195</v>
      </c>
      <c r="D128" s="140" t="s">
        <v>2730</v>
      </c>
      <c r="E128" s="141" t="s">
        <v>2731</v>
      </c>
      <c r="F128" s="142" t="str">
        <f t="shared" si="28"/>
        <v>31 años 0 meses 0 días</v>
      </c>
      <c r="G128" s="143">
        <v>0.88</v>
      </c>
      <c r="H128" s="110" t="str">
        <f t="shared" si="26"/>
        <v>52 años 6 meses 18 días</v>
      </c>
      <c r="I128" s="110" t="str">
        <f t="shared" si="27"/>
        <v>2 años 5 meses 5 días</v>
      </c>
      <c r="J128" s="195"/>
      <c r="K128" s="196"/>
      <c r="L128" s="197"/>
      <c r="M128" s="144">
        <v>34575.78</v>
      </c>
      <c r="N128" s="115">
        <f t="shared" si="29"/>
        <v>30426.686399999999</v>
      </c>
      <c r="O128" s="134"/>
      <c r="P128" s="134" t="s">
        <v>42</v>
      </c>
      <c r="Q128" s="115" t="s">
        <v>336</v>
      </c>
      <c r="R128" s="145">
        <v>34182</v>
      </c>
      <c r="S128" s="146">
        <v>45505</v>
      </c>
      <c r="T128" s="145">
        <v>26312</v>
      </c>
      <c r="U128" s="145">
        <v>44619</v>
      </c>
      <c r="V128" s="116"/>
      <c r="W128" s="116"/>
      <c r="X128" s="116"/>
      <c r="Y128" s="116"/>
      <c r="Z128" s="52"/>
      <c r="AA128" s="52"/>
      <c r="AB128" s="52"/>
      <c r="AC128" s="117"/>
      <c r="AD128" s="118" t="s">
        <v>48</v>
      </c>
      <c r="AE128" s="119" t="s">
        <v>36</v>
      </c>
      <c r="AF128" s="135" t="s">
        <v>37</v>
      </c>
      <c r="AH128" s="118"/>
      <c r="AI128" s="118"/>
      <c r="AJ128" s="118"/>
      <c r="AL128" s="118"/>
      <c r="AM128" s="118"/>
      <c r="AN128" s="118"/>
    </row>
    <row r="129" spans="1:40" s="93" customFormat="1" ht="50.1" customHeight="1" x14ac:dyDescent="0.25">
      <c r="A129" s="110">
        <v>11</v>
      </c>
      <c r="B129" s="139"/>
      <c r="C129" s="140" t="s">
        <v>195</v>
      </c>
      <c r="D129" s="140" t="s">
        <v>2732</v>
      </c>
      <c r="E129" s="141" t="s">
        <v>2733</v>
      </c>
      <c r="F129" s="142" t="str">
        <f t="shared" si="28"/>
        <v>20 años 2 meses 0 días</v>
      </c>
      <c r="G129" s="143">
        <v>0.6</v>
      </c>
      <c r="H129" s="110" t="str">
        <f t="shared" si="26"/>
        <v>49 años 9 meses 22 días</v>
      </c>
      <c r="I129" s="110" t="str">
        <f t="shared" si="27"/>
        <v>3 años 5 meses 5 días</v>
      </c>
      <c r="J129" s="195"/>
      <c r="K129" s="196"/>
      <c r="L129" s="197"/>
      <c r="M129" s="144">
        <v>34575.78</v>
      </c>
      <c r="N129" s="115">
        <f>M129*G129</f>
        <v>20745.467999999997</v>
      </c>
      <c r="O129" s="134"/>
      <c r="P129" s="134" t="s">
        <v>42</v>
      </c>
      <c r="Q129" s="115" t="s">
        <v>336</v>
      </c>
      <c r="R129" s="145">
        <v>38139</v>
      </c>
      <c r="S129" s="146">
        <v>45505</v>
      </c>
      <c r="T129" s="145">
        <v>27312</v>
      </c>
      <c r="U129" s="145">
        <v>44254</v>
      </c>
      <c r="V129" s="116"/>
      <c r="W129" s="116"/>
      <c r="X129" s="116"/>
      <c r="Y129" s="116"/>
      <c r="Z129" s="52"/>
      <c r="AA129" s="52"/>
      <c r="AB129" s="52"/>
      <c r="AC129" s="117"/>
      <c r="AD129" s="118" t="s">
        <v>134</v>
      </c>
      <c r="AE129" s="119" t="s">
        <v>36</v>
      </c>
      <c r="AF129" s="135" t="s">
        <v>37</v>
      </c>
      <c r="AH129" s="118"/>
      <c r="AI129" s="118"/>
      <c r="AJ129" s="118"/>
      <c r="AL129" s="118"/>
      <c r="AM129" s="118"/>
      <c r="AN129" s="118"/>
    </row>
    <row r="130" spans="1:40" s="93" customFormat="1" ht="50.1" customHeight="1" x14ac:dyDescent="0.25">
      <c r="A130" s="110">
        <v>12</v>
      </c>
      <c r="B130" s="139"/>
      <c r="C130" s="140" t="s">
        <v>195</v>
      </c>
      <c r="D130" s="140" t="s">
        <v>2734</v>
      </c>
      <c r="E130" s="141" t="s">
        <v>2735</v>
      </c>
      <c r="F130" s="142" t="str">
        <f t="shared" si="28"/>
        <v>30 años 9 meses 0 días</v>
      </c>
      <c r="G130" s="143">
        <v>0.88</v>
      </c>
      <c r="H130" s="110" t="str">
        <f t="shared" si="26"/>
        <v>51 años 9 meses 23 días</v>
      </c>
      <c r="I130" s="110" t="str">
        <f t="shared" si="27"/>
        <v>6 años 5 meses 5 días</v>
      </c>
      <c r="J130" s="195"/>
      <c r="K130" s="196"/>
      <c r="L130" s="197"/>
      <c r="M130" s="144">
        <f>35615.52</f>
        <v>35615.519999999997</v>
      </c>
      <c r="N130" s="115">
        <f t="shared" ref="N130:N132" si="30">M130*G130</f>
        <v>31341.657599999999</v>
      </c>
      <c r="O130" s="134"/>
      <c r="P130" s="134" t="s">
        <v>42</v>
      </c>
      <c r="Q130" s="115" t="s">
        <v>336</v>
      </c>
      <c r="R130" s="145">
        <v>34274</v>
      </c>
      <c r="S130" s="146">
        <v>45505</v>
      </c>
      <c r="T130" s="145">
        <v>26581</v>
      </c>
      <c r="U130" s="145">
        <v>43158</v>
      </c>
      <c r="V130" s="116"/>
      <c r="W130" s="116"/>
      <c r="X130" s="116"/>
      <c r="Y130" s="116"/>
      <c r="Z130" s="52"/>
      <c r="AA130" s="52"/>
      <c r="AB130" s="52"/>
      <c r="AC130" s="117"/>
      <c r="AD130" s="118" t="s">
        <v>268</v>
      </c>
      <c r="AE130" s="119" t="s">
        <v>36</v>
      </c>
      <c r="AF130" s="135" t="s">
        <v>37</v>
      </c>
      <c r="AH130" s="118"/>
      <c r="AI130" s="118"/>
      <c r="AJ130" s="118"/>
      <c r="AL130" s="118"/>
      <c r="AM130" s="118"/>
      <c r="AN130" s="118"/>
    </row>
    <row r="131" spans="1:40" s="93" customFormat="1" ht="50.1" customHeight="1" x14ac:dyDescent="0.25">
      <c r="A131" s="110">
        <v>13</v>
      </c>
      <c r="B131" s="139"/>
      <c r="C131" s="140" t="s">
        <v>195</v>
      </c>
      <c r="D131" s="140" t="s">
        <v>2736</v>
      </c>
      <c r="E131" s="141" t="s">
        <v>2737</v>
      </c>
      <c r="F131" s="142" t="str">
        <f t="shared" si="28"/>
        <v>28 años 5 meses 0 días</v>
      </c>
      <c r="G131" s="143">
        <v>0.8</v>
      </c>
      <c r="H131" s="110" t="str">
        <f t="shared" si="26"/>
        <v>45 años 9 meses 22 días</v>
      </c>
      <c r="I131" s="110" t="str">
        <f t="shared" si="27"/>
        <v>5 años 5 meses 5 días</v>
      </c>
      <c r="J131" s="195"/>
      <c r="K131" s="196"/>
      <c r="L131" s="197"/>
      <c r="M131" s="144">
        <v>70000</v>
      </c>
      <c r="N131" s="115">
        <f t="shared" si="30"/>
        <v>56000</v>
      </c>
      <c r="O131" s="134"/>
      <c r="P131" s="134" t="s">
        <v>42</v>
      </c>
      <c r="Q131" s="115" t="s">
        <v>336</v>
      </c>
      <c r="R131" s="145">
        <v>35125</v>
      </c>
      <c r="S131" s="146">
        <v>45505</v>
      </c>
      <c r="T131" s="145">
        <v>28773</v>
      </c>
      <c r="U131" s="145">
        <v>43523</v>
      </c>
      <c r="V131" s="116"/>
      <c r="W131" s="116"/>
      <c r="X131" s="116"/>
      <c r="Y131" s="116"/>
      <c r="Z131" s="52"/>
      <c r="AA131" s="52"/>
      <c r="AB131" s="52"/>
      <c r="AC131" s="117"/>
      <c r="AD131" s="118" t="s">
        <v>293</v>
      </c>
      <c r="AE131" s="119" t="s">
        <v>36</v>
      </c>
      <c r="AF131" s="135" t="s">
        <v>37</v>
      </c>
      <c r="AH131" s="118"/>
      <c r="AI131" s="118"/>
      <c r="AJ131" s="118"/>
      <c r="AL131" s="118"/>
      <c r="AM131" s="118"/>
      <c r="AN131" s="118"/>
    </row>
    <row r="132" spans="1:40" s="93" customFormat="1" ht="50.1" customHeight="1" x14ac:dyDescent="0.25">
      <c r="A132" s="110">
        <v>14</v>
      </c>
      <c r="B132" s="139"/>
      <c r="C132" s="140" t="s">
        <v>195</v>
      </c>
      <c r="D132" s="140" t="s">
        <v>2738</v>
      </c>
      <c r="E132" s="141" t="s">
        <v>2739</v>
      </c>
      <c r="F132" s="142" t="str">
        <f t="shared" si="28"/>
        <v>31 años 6 meses 17 días</v>
      </c>
      <c r="G132" s="143">
        <v>0.91</v>
      </c>
      <c r="H132" s="110" t="str">
        <f t="shared" si="26"/>
        <v>48 años 7 meses 29 días</v>
      </c>
      <c r="I132" s="110" t="str">
        <f t="shared" si="27"/>
        <v>5 años 5 meses 5 días</v>
      </c>
      <c r="J132" s="195"/>
      <c r="K132" s="196"/>
      <c r="L132" s="197"/>
      <c r="M132" s="144">
        <f>35615.53</f>
        <v>35615.53</v>
      </c>
      <c r="N132" s="115">
        <f t="shared" si="30"/>
        <v>32410.132300000001</v>
      </c>
      <c r="O132" s="134"/>
      <c r="P132" s="134" t="s">
        <v>42</v>
      </c>
      <c r="Q132" s="115" t="s">
        <v>336</v>
      </c>
      <c r="R132" s="145">
        <v>33984</v>
      </c>
      <c r="S132" s="146">
        <v>45505</v>
      </c>
      <c r="T132" s="145">
        <v>27731</v>
      </c>
      <c r="U132" s="145">
        <v>43523</v>
      </c>
      <c r="V132" s="116"/>
      <c r="W132" s="116"/>
      <c r="X132" s="116"/>
      <c r="Y132" s="116"/>
      <c r="Z132" s="52"/>
      <c r="AA132" s="52"/>
      <c r="AB132" s="52"/>
      <c r="AC132" s="117"/>
      <c r="AD132" s="118" t="s">
        <v>134</v>
      </c>
      <c r="AE132" s="119" t="s">
        <v>36</v>
      </c>
      <c r="AF132" s="135" t="s">
        <v>37</v>
      </c>
      <c r="AH132" s="118"/>
      <c r="AI132" s="118"/>
      <c r="AJ132" s="118"/>
      <c r="AL132" s="118"/>
      <c r="AM132" s="118"/>
      <c r="AN132" s="118"/>
    </row>
    <row r="133" spans="1:40" s="93" customFormat="1" ht="50.1" customHeight="1" x14ac:dyDescent="0.25">
      <c r="A133" s="110">
        <v>15</v>
      </c>
      <c r="B133" s="139"/>
      <c r="C133" s="140" t="s">
        <v>195</v>
      </c>
      <c r="D133" s="140" t="s">
        <v>2740</v>
      </c>
      <c r="E133" s="141" t="s">
        <v>2741</v>
      </c>
      <c r="F133" s="142" t="str">
        <f t="shared" si="28"/>
        <v>28 años 5 meses 0 días</v>
      </c>
      <c r="G133" s="143">
        <v>0.8</v>
      </c>
      <c r="H133" s="110" t="str">
        <f t="shared" si="26"/>
        <v>48 años 6 meses 8 días</v>
      </c>
      <c r="I133" s="110" t="str">
        <f t="shared" si="27"/>
        <v>4 años 5 meses 5 días</v>
      </c>
      <c r="J133" s="195"/>
      <c r="K133" s="196"/>
      <c r="L133" s="197"/>
      <c r="M133" s="144">
        <v>34575.78</v>
      </c>
      <c r="N133" s="115">
        <f>M133*G133</f>
        <v>27660.624</v>
      </c>
      <c r="O133" s="134"/>
      <c r="P133" s="134" t="s">
        <v>42</v>
      </c>
      <c r="Q133" s="115" t="s">
        <v>336</v>
      </c>
      <c r="R133" s="145">
        <v>35125</v>
      </c>
      <c r="S133" s="146">
        <v>45505</v>
      </c>
      <c r="T133" s="145">
        <v>27783</v>
      </c>
      <c r="U133" s="145">
        <v>43888</v>
      </c>
      <c r="V133" s="116"/>
      <c r="W133" s="116"/>
      <c r="X133" s="116"/>
      <c r="Y133" s="116"/>
      <c r="Z133" s="52"/>
      <c r="AA133" s="52"/>
      <c r="AB133" s="52"/>
      <c r="AC133" s="117"/>
      <c r="AD133" s="118" t="s">
        <v>35</v>
      </c>
      <c r="AE133" s="119" t="s">
        <v>36</v>
      </c>
      <c r="AF133" s="135" t="s">
        <v>37</v>
      </c>
      <c r="AH133" s="118"/>
      <c r="AI133" s="118"/>
      <c r="AJ133" s="118"/>
      <c r="AL133" s="118"/>
      <c r="AM133" s="118"/>
      <c r="AN133" s="118"/>
    </row>
    <row r="134" spans="1:40" s="93" customFormat="1" ht="50.1" customHeight="1" x14ac:dyDescent="0.25">
      <c r="A134" s="110">
        <v>16</v>
      </c>
      <c r="B134" s="139"/>
      <c r="C134" s="140" t="s">
        <v>2742</v>
      </c>
      <c r="D134" s="140" t="s">
        <v>2743</v>
      </c>
      <c r="E134" s="141" t="s">
        <v>2744</v>
      </c>
      <c r="F134" s="142" t="str">
        <f t="shared" si="28"/>
        <v>24 años 1 meses 22 días</v>
      </c>
      <c r="G134" s="143">
        <v>0.7</v>
      </c>
      <c r="H134" s="110" t="str">
        <f t="shared" si="26"/>
        <v>42 años 7 meses 4 días</v>
      </c>
      <c r="I134" s="110" t="str">
        <f t="shared" si="27"/>
        <v>5 años 8 meses 27 días</v>
      </c>
      <c r="J134" s="195"/>
      <c r="K134" s="196"/>
      <c r="L134" s="197"/>
      <c r="M134" s="144">
        <v>22425</v>
      </c>
      <c r="N134" s="115">
        <f>M134*G134</f>
        <v>15697.499999999998</v>
      </c>
      <c r="O134" s="134" t="s">
        <v>2412</v>
      </c>
      <c r="P134" s="134" t="s">
        <v>33</v>
      </c>
      <c r="Q134" s="115" t="s">
        <v>2944</v>
      </c>
      <c r="R134" s="145">
        <v>35704</v>
      </c>
      <c r="S134" s="146">
        <v>44523</v>
      </c>
      <c r="T134" s="145">
        <v>28964</v>
      </c>
      <c r="U134" s="145">
        <v>42427</v>
      </c>
      <c r="V134" s="116"/>
      <c r="W134" s="116"/>
      <c r="X134" s="116"/>
      <c r="Y134" s="116"/>
      <c r="Z134" s="52"/>
      <c r="AA134" s="52"/>
      <c r="AB134" s="52"/>
      <c r="AC134" s="117"/>
      <c r="AD134" s="118" t="s">
        <v>134</v>
      </c>
      <c r="AE134" s="119" t="s">
        <v>36</v>
      </c>
      <c r="AF134" s="135" t="s">
        <v>37</v>
      </c>
      <c r="AH134" s="118"/>
      <c r="AI134" s="118"/>
      <c r="AJ134" s="118"/>
      <c r="AL134" s="118"/>
      <c r="AM134" s="118"/>
      <c r="AN134" s="118"/>
    </row>
    <row r="135" spans="1:40" s="93" customFormat="1" ht="50.1" customHeight="1" x14ac:dyDescent="0.25">
      <c r="A135" s="110">
        <v>17</v>
      </c>
      <c r="B135" s="139"/>
      <c r="C135" s="140" t="s">
        <v>202</v>
      </c>
      <c r="D135" s="140" t="s">
        <v>2745</v>
      </c>
      <c r="E135" s="141" t="s">
        <v>2746</v>
      </c>
      <c r="F135" s="142" t="str">
        <f t="shared" si="28"/>
        <v>25 años 6 meses 0 días</v>
      </c>
      <c r="G135" s="143">
        <v>0.75</v>
      </c>
      <c r="H135" s="110" t="str">
        <f t="shared" si="26"/>
        <v>44 años 4 meses 0 días</v>
      </c>
      <c r="I135" s="110" t="str">
        <f t="shared" si="27"/>
        <v>2 años 5 meses 5 días</v>
      </c>
      <c r="J135" s="195"/>
      <c r="K135" s="196"/>
      <c r="L135" s="197"/>
      <c r="M135" s="144">
        <f>32541.78</f>
        <v>32541.78</v>
      </c>
      <c r="N135" s="115">
        <f t="shared" ref="N135:N144" si="31">M135*G135</f>
        <v>24406.334999999999</v>
      </c>
      <c r="O135" s="134"/>
      <c r="P135" s="134" t="s">
        <v>42</v>
      </c>
      <c r="Q135" s="115" t="s">
        <v>336</v>
      </c>
      <c r="R135" s="145">
        <v>36192</v>
      </c>
      <c r="S135" s="146">
        <v>45505</v>
      </c>
      <c r="T135" s="145">
        <v>29312</v>
      </c>
      <c r="U135" s="145">
        <v>44619</v>
      </c>
      <c r="V135" s="116"/>
      <c r="W135" s="116"/>
      <c r="X135" s="116"/>
      <c r="Y135" s="116"/>
      <c r="Z135" s="52"/>
      <c r="AA135" s="52"/>
      <c r="AB135" s="52"/>
      <c r="AC135" s="117"/>
      <c r="AD135" s="118" t="s">
        <v>48</v>
      </c>
      <c r="AE135" s="119" t="s">
        <v>36</v>
      </c>
      <c r="AF135" s="135" t="s">
        <v>37</v>
      </c>
      <c r="AH135" s="118"/>
      <c r="AI135" s="118"/>
      <c r="AJ135" s="118"/>
      <c r="AL135" s="118"/>
      <c r="AM135" s="118"/>
      <c r="AN135" s="118"/>
    </row>
    <row r="136" spans="1:40" s="93" customFormat="1" ht="50.1" customHeight="1" x14ac:dyDescent="0.25">
      <c r="A136" s="110">
        <v>18</v>
      </c>
      <c r="B136" s="139"/>
      <c r="C136" s="140" t="s">
        <v>202</v>
      </c>
      <c r="D136" s="140" t="s">
        <v>2747</v>
      </c>
      <c r="E136" s="141" t="s">
        <v>2748</v>
      </c>
      <c r="F136" s="142" t="str">
        <f t="shared" si="28"/>
        <v>26 años 6 meses 0 días</v>
      </c>
      <c r="G136" s="143">
        <v>0.77500000000000002</v>
      </c>
      <c r="H136" s="110" t="str">
        <f t="shared" si="26"/>
        <v>47 años 11 meses 26 días</v>
      </c>
      <c r="I136" s="110" t="str">
        <f t="shared" si="27"/>
        <v>6 años 5 meses 5 días</v>
      </c>
      <c r="J136" s="195"/>
      <c r="K136" s="196"/>
      <c r="L136" s="197"/>
      <c r="M136" s="144">
        <v>34575.78</v>
      </c>
      <c r="N136" s="115">
        <f t="shared" si="31"/>
        <v>26796.229500000001</v>
      </c>
      <c r="O136" s="134"/>
      <c r="P136" s="134" t="s">
        <v>42</v>
      </c>
      <c r="Q136" s="115" t="s">
        <v>336</v>
      </c>
      <c r="R136" s="145">
        <v>35827</v>
      </c>
      <c r="S136" s="146">
        <v>45505</v>
      </c>
      <c r="T136" s="145">
        <v>27978</v>
      </c>
      <c r="U136" s="145">
        <v>43158</v>
      </c>
      <c r="V136" s="116"/>
      <c r="W136" s="116"/>
      <c r="X136" s="116"/>
      <c r="Y136" s="116"/>
      <c r="Z136" s="52"/>
      <c r="AA136" s="52"/>
      <c r="AB136" s="52"/>
      <c r="AC136" s="117"/>
      <c r="AD136" s="118" t="s">
        <v>48</v>
      </c>
      <c r="AE136" s="119" t="s">
        <v>36</v>
      </c>
      <c r="AF136" s="135" t="s">
        <v>37</v>
      </c>
      <c r="AH136" s="118"/>
      <c r="AI136" s="118"/>
      <c r="AJ136" s="118"/>
      <c r="AL136" s="118"/>
      <c r="AM136" s="118"/>
      <c r="AN136" s="118"/>
    </row>
    <row r="137" spans="1:40" s="93" customFormat="1" ht="50.1" customHeight="1" x14ac:dyDescent="0.25">
      <c r="A137" s="110">
        <v>19</v>
      </c>
      <c r="B137" s="139"/>
      <c r="C137" s="140" t="s">
        <v>202</v>
      </c>
      <c r="D137" s="140" t="s">
        <v>2749</v>
      </c>
      <c r="E137" s="141" t="s">
        <v>2750</v>
      </c>
      <c r="F137" s="142" t="str">
        <f t="shared" si="28"/>
        <v>27 años 6 meses 0 días</v>
      </c>
      <c r="G137" s="143">
        <v>0.8</v>
      </c>
      <c r="H137" s="110" t="str">
        <f t="shared" si="26"/>
        <v>51 años 3 meses 2 días</v>
      </c>
      <c r="I137" s="110" t="str">
        <f t="shared" si="27"/>
        <v>5 años 5 meses 5 días</v>
      </c>
      <c r="J137" s="195"/>
      <c r="K137" s="196"/>
      <c r="L137" s="197"/>
      <c r="M137" s="144">
        <v>34575.78</v>
      </c>
      <c r="N137" s="115">
        <f t="shared" si="31"/>
        <v>27660.624</v>
      </c>
      <c r="O137" s="134"/>
      <c r="P137" s="134" t="s">
        <v>42</v>
      </c>
      <c r="Q137" s="115" t="s">
        <v>336</v>
      </c>
      <c r="R137" s="145">
        <v>35462</v>
      </c>
      <c r="S137" s="146">
        <v>45505</v>
      </c>
      <c r="T137" s="145">
        <v>26784</v>
      </c>
      <c r="U137" s="145">
        <v>43523</v>
      </c>
      <c r="V137" s="116"/>
      <c r="W137" s="116"/>
      <c r="X137" s="116"/>
      <c r="Y137" s="116"/>
      <c r="Z137" s="52"/>
      <c r="AA137" s="52"/>
      <c r="AB137" s="52"/>
      <c r="AC137" s="117"/>
      <c r="AD137" s="118" t="s">
        <v>48</v>
      </c>
      <c r="AE137" s="119" t="s">
        <v>36</v>
      </c>
      <c r="AF137" s="135" t="s">
        <v>37</v>
      </c>
      <c r="AH137" s="118"/>
      <c r="AI137" s="118"/>
      <c r="AJ137" s="118"/>
      <c r="AL137" s="118"/>
      <c r="AM137" s="118"/>
      <c r="AN137" s="118"/>
    </row>
    <row r="138" spans="1:40" s="93" customFormat="1" ht="50.1" customHeight="1" x14ac:dyDescent="0.25">
      <c r="A138" s="110">
        <v>20</v>
      </c>
      <c r="B138" s="139"/>
      <c r="C138" s="140" t="s">
        <v>202</v>
      </c>
      <c r="D138" s="140" t="s">
        <v>2751</v>
      </c>
      <c r="E138" s="141" t="s">
        <v>2752</v>
      </c>
      <c r="F138" s="142" t="str">
        <f t="shared" si="28"/>
        <v>25 años 6 meses 0 días</v>
      </c>
      <c r="G138" s="143">
        <v>0.75</v>
      </c>
      <c r="H138" s="110" t="str">
        <f t="shared" si="26"/>
        <v>54 años 1 meses 19 días</v>
      </c>
      <c r="I138" s="110" t="str">
        <f t="shared" si="27"/>
        <v>2 años 5 meses 5 días</v>
      </c>
      <c r="J138" s="195"/>
      <c r="K138" s="196"/>
      <c r="L138" s="197"/>
      <c r="M138" s="144">
        <f>32541.78</f>
        <v>32541.78</v>
      </c>
      <c r="N138" s="115">
        <f t="shared" si="31"/>
        <v>24406.334999999999</v>
      </c>
      <c r="O138" s="134"/>
      <c r="P138" s="134" t="s">
        <v>42</v>
      </c>
      <c r="Q138" s="115" t="s">
        <v>336</v>
      </c>
      <c r="R138" s="145">
        <v>36192</v>
      </c>
      <c r="S138" s="146">
        <v>45505</v>
      </c>
      <c r="T138" s="145">
        <v>25732</v>
      </c>
      <c r="U138" s="145">
        <v>44619</v>
      </c>
      <c r="V138" s="116"/>
      <c r="W138" s="116"/>
      <c r="X138" s="116"/>
      <c r="Y138" s="116"/>
      <c r="Z138" s="52"/>
      <c r="AA138" s="52"/>
      <c r="AB138" s="52"/>
      <c r="AC138" s="117"/>
      <c r="AD138" s="118" t="s">
        <v>48</v>
      </c>
      <c r="AE138" s="119" t="s">
        <v>36</v>
      </c>
      <c r="AF138" s="135" t="s">
        <v>37</v>
      </c>
      <c r="AH138" s="118"/>
      <c r="AI138" s="118"/>
      <c r="AJ138" s="118"/>
      <c r="AL138" s="118"/>
      <c r="AM138" s="118"/>
      <c r="AN138" s="118"/>
    </row>
    <row r="139" spans="1:40" s="93" customFormat="1" ht="50.1" customHeight="1" x14ac:dyDescent="0.25">
      <c r="A139" s="110">
        <v>21</v>
      </c>
      <c r="B139" s="139"/>
      <c r="C139" s="140" t="s">
        <v>202</v>
      </c>
      <c r="D139" s="140" t="s">
        <v>2753</v>
      </c>
      <c r="E139" s="141" t="s">
        <v>2754</v>
      </c>
      <c r="F139" s="142" t="str">
        <f t="shared" si="28"/>
        <v>25 años 3 meses 0 días</v>
      </c>
      <c r="G139" s="143">
        <v>0.72499999999999998</v>
      </c>
      <c r="H139" s="110" t="str">
        <f t="shared" si="26"/>
        <v>47 años 2 meses 5 días</v>
      </c>
      <c r="I139" s="110" t="str">
        <f t="shared" si="27"/>
        <v>2 años 5 meses 5 días</v>
      </c>
      <c r="J139" s="195"/>
      <c r="K139" s="196"/>
      <c r="L139" s="197"/>
      <c r="M139" s="144">
        <f>32541.78</f>
        <v>32541.78</v>
      </c>
      <c r="N139" s="115">
        <f t="shared" si="31"/>
        <v>23592.790499999999</v>
      </c>
      <c r="O139" s="134"/>
      <c r="P139" s="134" t="s">
        <v>42</v>
      </c>
      <c r="Q139" s="115" t="s">
        <v>336</v>
      </c>
      <c r="R139" s="145">
        <v>36281</v>
      </c>
      <c r="S139" s="146">
        <v>45505</v>
      </c>
      <c r="T139" s="145">
        <v>28272</v>
      </c>
      <c r="U139" s="145">
        <v>44619</v>
      </c>
      <c r="V139" s="116"/>
      <c r="W139" s="116"/>
      <c r="X139" s="116"/>
      <c r="Y139" s="116"/>
      <c r="Z139" s="52"/>
      <c r="AA139" s="52"/>
      <c r="AB139" s="52"/>
      <c r="AC139" s="117"/>
      <c r="AD139" s="118" t="s">
        <v>48</v>
      </c>
      <c r="AE139" s="119" t="s">
        <v>36</v>
      </c>
      <c r="AF139" s="135" t="s">
        <v>37</v>
      </c>
      <c r="AH139" s="118"/>
      <c r="AI139" s="118"/>
      <c r="AJ139" s="118"/>
      <c r="AL139" s="118"/>
      <c r="AM139" s="118"/>
      <c r="AN139" s="118"/>
    </row>
    <row r="140" spans="1:40" s="93" customFormat="1" ht="50.1" customHeight="1" x14ac:dyDescent="0.25">
      <c r="A140" s="110">
        <v>22</v>
      </c>
      <c r="B140" s="139"/>
      <c r="C140" s="140" t="s">
        <v>202</v>
      </c>
      <c r="D140" s="140" t="s">
        <v>2755</v>
      </c>
      <c r="E140" s="141" t="s">
        <v>2756</v>
      </c>
      <c r="F140" s="142" t="str">
        <f t="shared" si="28"/>
        <v>25 años 3 meses 0 días</v>
      </c>
      <c r="G140" s="143">
        <v>0.72499999999999998</v>
      </c>
      <c r="H140" s="110" t="str">
        <f t="shared" si="26"/>
        <v>43 años 11 meses 1 días</v>
      </c>
      <c r="I140" s="110" t="str">
        <f t="shared" si="27"/>
        <v>2 años 5 meses 5 días</v>
      </c>
      <c r="J140" s="195"/>
      <c r="K140" s="196"/>
      <c r="L140" s="197"/>
      <c r="M140" s="144">
        <f>32541.78</f>
        <v>32541.78</v>
      </c>
      <c r="N140" s="115">
        <f t="shared" si="31"/>
        <v>23592.790499999999</v>
      </c>
      <c r="O140" s="134"/>
      <c r="P140" s="134" t="s">
        <v>42</v>
      </c>
      <c r="Q140" s="115" t="s">
        <v>336</v>
      </c>
      <c r="R140" s="145">
        <v>36281</v>
      </c>
      <c r="S140" s="146">
        <v>45505</v>
      </c>
      <c r="T140" s="145">
        <v>29464</v>
      </c>
      <c r="U140" s="145">
        <v>44619</v>
      </c>
      <c r="V140" s="116"/>
      <c r="W140" s="116"/>
      <c r="X140" s="116"/>
      <c r="Y140" s="116"/>
      <c r="Z140" s="52"/>
      <c r="AA140" s="52"/>
      <c r="AB140" s="52"/>
      <c r="AC140" s="117"/>
      <c r="AD140" s="118" t="s">
        <v>48</v>
      </c>
      <c r="AE140" s="119" t="s">
        <v>36</v>
      </c>
      <c r="AF140" s="135" t="s">
        <v>37</v>
      </c>
      <c r="AH140" s="118"/>
      <c r="AI140" s="118"/>
      <c r="AJ140" s="118"/>
      <c r="AL140" s="118"/>
      <c r="AM140" s="118"/>
      <c r="AN140" s="118"/>
    </row>
    <row r="141" spans="1:40" s="93" customFormat="1" ht="50.1" customHeight="1" x14ac:dyDescent="0.25">
      <c r="A141" s="110">
        <v>23</v>
      </c>
      <c r="B141" s="139"/>
      <c r="C141" s="140" t="s">
        <v>202</v>
      </c>
      <c r="D141" s="140" t="s">
        <v>2757</v>
      </c>
      <c r="E141" s="141" t="s">
        <v>2758</v>
      </c>
      <c r="F141" s="142" t="str">
        <f t="shared" si="28"/>
        <v>25 años 6 meses 0 días</v>
      </c>
      <c r="G141" s="143">
        <v>0.75</v>
      </c>
      <c r="H141" s="110" t="str">
        <f t="shared" si="26"/>
        <v>53 años 8 meses 28 días</v>
      </c>
      <c r="I141" s="110" t="str">
        <f t="shared" si="27"/>
        <v>2 años 5 meses 5 días</v>
      </c>
      <c r="J141" s="195"/>
      <c r="K141" s="196"/>
      <c r="L141" s="197"/>
      <c r="M141" s="144">
        <f>32541.78</f>
        <v>32541.78</v>
      </c>
      <c r="N141" s="115">
        <f t="shared" si="31"/>
        <v>24406.334999999999</v>
      </c>
      <c r="O141" s="134"/>
      <c r="P141" s="134" t="s">
        <v>42</v>
      </c>
      <c r="Q141" s="115" t="s">
        <v>336</v>
      </c>
      <c r="R141" s="145">
        <v>36192</v>
      </c>
      <c r="S141" s="146">
        <v>45505</v>
      </c>
      <c r="T141" s="145">
        <v>25876</v>
      </c>
      <c r="U141" s="145">
        <v>44619</v>
      </c>
      <c r="V141" s="116"/>
      <c r="W141" s="116"/>
      <c r="X141" s="116"/>
      <c r="Y141" s="116"/>
      <c r="Z141" s="52"/>
      <c r="AA141" s="52"/>
      <c r="AB141" s="52"/>
      <c r="AC141" s="117"/>
      <c r="AD141" s="118" t="s">
        <v>48</v>
      </c>
      <c r="AE141" s="119" t="s">
        <v>36</v>
      </c>
      <c r="AF141" s="135" t="s">
        <v>37</v>
      </c>
      <c r="AH141" s="118"/>
      <c r="AI141" s="118"/>
      <c r="AJ141" s="118"/>
      <c r="AL141" s="118"/>
      <c r="AM141" s="118"/>
      <c r="AN141" s="118"/>
    </row>
    <row r="142" spans="1:40" s="93" customFormat="1" ht="50.1" customHeight="1" x14ac:dyDescent="0.25">
      <c r="A142" s="110">
        <v>24</v>
      </c>
      <c r="B142" s="139"/>
      <c r="C142" s="140" t="s">
        <v>202</v>
      </c>
      <c r="D142" s="140" t="s">
        <v>2759</v>
      </c>
      <c r="E142" s="141" t="s">
        <v>2760</v>
      </c>
      <c r="F142" s="142" t="str">
        <f t="shared" si="28"/>
        <v>25 años 8 meses 0 días</v>
      </c>
      <c r="G142" s="143">
        <v>0.75</v>
      </c>
      <c r="H142" s="110" t="str">
        <f t="shared" si="26"/>
        <v>60 años 6 meses 22 días</v>
      </c>
      <c r="I142" s="110" t="str">
        <f t="shared" si="27"/>
        <v>5 años 5 meses 5 días</v>
      </c>
      <c r="J142" s="195"/>
      <c r="K142" s="196"/>
      <c r="L142" s="197"/>
      <c r="M142" s="144">
        <v>34575.78</v>
      </c>
      <c r="N142" s="115">
        <f t="shared" si="31"/>
        <v>25931.834999999999</v>
      </c>
      <c r="O142" s="134"/>
      <c r="P142" s="134" t="s">
        <v>42</v>
      </c>
      <c r="Q142" s="115" t="s">
        <v>336</v>
      </c>
      <c r="R142" s="145">
        <v>36130</v>
      </c>
      <c r="S142" s="146">
        <v>45505</v>
      </c>
      <c r="T142" s="145">
        <v>23386</v>
      </c>
      <c r="U142" s="145">
        <v>43523</v>
      </c>
      <c r="V142" s="116"/>
      <c r="W142" s="116"/>
      <c r="X142" s="116"/>
      <c r="Y142" s="116"/>
      <c r="Z142" s="52"/>
      <c r="AA142" s="52"/>
      <c r="AB142" s="52"/>
      <c r="AC142" s="117"/>
      <c r="AD142" s="118" t="s">
        <v>48</v>
      </c>
      <c r="AE142" s="119" t="s">
        <v>36</v>
      </c>
      <c r="AF142" s="135" t="s">
        <v>37</v>
      </c>
      <c r="AH142" s="118"/>
      <c r="AI142" s="118"/>
      <c r="AJ142" s="118"/>
      <c r="AL142" s="118"/>
      <c r="AM142" s="118"/>
      <c r="AN142" s="118"/>
    </row>
    <row r="143" spans="1:40" s="93" customFormat="1" ht="50.1" customHeight="1" x14ac:dyDescent="0.25">
      <c r="A143" s="110">
        <v>25</v>
      </c>
      <c r="B143" s="139"/>
      <c r="C143" s="140" t="s">
        <v>202</v>
      </c>
      <c r="D143" s="140" t="s">
        <v>2761</v>
      </c>
      <c r="E143" s="141" t="s">
        <v>2762</v>
      </c>
      <c r="F143" s="142" t="str">
        <f t="shared" si="28"/>
        <v>22 años 2 meses 0 días</v>
      </c>
      <c r="G143" s="143">
        <v>0.65</v>
      </c>
      <c r="H143" s="110" t="str">
        <f t="shared" si="26"/>
        <v>124 años 7 meses 1 días</v>
      </c>
      <c r="I143" s="110" t="str">
        <f t="shared" si="27"/>
        <v>1 años 5 meses 5 días</v>
      </c>
      <c r="J143" s="195"/>
      <c r="K143" s="196"/>
      <c r="L143" s="197"/>
      <c r="M143" s="144">
        <f>32541.78</f>
        <v>32541.78</v>
      </c>
      <c r="N143" s="115">
        <f t="shared" si="31"/>
        <v>21152.156999999999</v>
      </c>
      <c r="O143" s="134"/>
      <c r="P143" s="134"/>
      <c r="Q143" s="115" t="s">
        <v>336</v>
      </c>
      <c r="R143" s="145">
        <v>37408</v>
      </c>
      <c r="S143" s="146">
        <v>45505</v>
      </c>
      <c r="T143" s="145"/>
      <c r="U143" s="145">
        <v>44984</v>
      </c>
      <c r="V143" s="116"/>
      <c r="W143" s="116"/>
      <c r="X143" s="116"/>
      <c r="Y143" s="116"/>
      <c r="Z143" s="52"/>
      <c r="AA143" s="52"/>
      <c r="AB143" s="52"/>
      <c r="AC143" s="117"/>
      <c r="AD143" s="118"/>
      <c r="AE143" s="119"/>
      <c r="AF143" s="135"/>
      <c r="AH143" s="118"/>
      <c r="AI143" s="118"/>
      <c r="AJ143" s="118"/>
      <c r="AL143" s="118"/>
      <c r="AM143" s="118"/>
      <c r="AN143" s="118"/>
    </row>
    <row r="144" spans="1:40" s="93" customFormat="1" ht="50.1" customHeight="1" x14ac:dyDescent="0.25">
      <c r="A144" s="110">
        <v>26</v>
      </c>
      <c r="B144" s="139"/>
      <c r="C144" s="140" t="s">
        <v>202</v>
      </c>
      <c r="D144" s="140" t="s">
        <v>2763</v>
      </c>
      <c r="E144" s="141" t="s">
        <v>2764</v>
      </c>
      <c r="F144" s="142" t="str">
        <f t="shared" si="28"/>
        <v>22 años 0 meses 0 días</v>
      </c>
      <c r="G144" s="143">
        <v>0.65</v>
      </c>
      <c r="H144" s="110" t="str">
        <f t="shared" si="26"/>
        <v>44 años 9 meses 15 días</v>
      </c>
      <c r="I144" s="110" t="str">
        <f t="shared" si="27"/>
        <v>4 años 5 meses 5 días</v>
      </c>
      <c r="J144" s="195"/>
      <c r="K144" s="196"/>
      <c r="L144" s="197"/>
      <c r="M144" s="144">
        <f>32541.78</f>
        <v>32541.78</v>
      </c>
      <c r="N144" s="115">
        <f t="shared" si="31"/>
        <v>21152.156999999999</v>
      </c>
      <c r="O144" s="134"/>
      <c r="P144" s="134" t="s">
        <v>42</v>
      </c>
      <c r="Q144" s="115" t="s">
        <v>336</v>
      </c>
      <c r="R144" s="145">
        <v>37469</v>
      </c>
      <c r="S144" s="146">
        <v>45505</v>
      </c>
      <c r="T144" s="145">
        <v>29145</v>
      </c>
      <c r="U144" s="145">
        <v>43888</v>
      </c>
      <c r="V144" s="116"/>
      <c r="W144" s="116"/>
      <c r="X144" s="116"/>
      <c r="Y144" s="116"/>
      <c r="Z144" s="52"/>
      <c r="AA144" s="52"/>
      <c r="AB144" s="52"/>
      <c r="AC144" s="117"/>
      <c r="AD144" s="118" t="s">
        <v>48</v>
      </c>
      <c r="AE144" s="119" t="s">
        <v>36</v>
      </c>
      <c r="AF144" s="135" t="s">
        <v>37</v>
      </c>
      <c r="AH144" s="118"/>
      <c r="AI144" s="118"/>
      <c r="AJ144" s="118"/>
      <c r="AL144" s="118"/>
      <c r="AM144" s="118"/>
      <c r="AN144" s="118"/>
    </row>
    <row r="145" spans="1:40" s="93" customFormat="1" ht="50.1" customHeight="1" x14ac:dyDescent="0.25">
      <c r="A145" s="110">
        <v>27</v>
      </c>
      <c r="B145" s="139"/>
      <c r="C145" s="140" t="s">
        <v>208</v>
      </c>
      <c r="D145" s="140" t="s">
        <v>2765</v>
      </c>
      <c r="E145" s="141" t="s">
        <v>2766</v>
      </c>
      <c r="F145" s="142" t="str">
        <f t="shared" si="28"/>
        <v>21 años 4 meses 26 días</v>
      </c>
      <c r="G145" s="143">
        <v>0.625</v>
      </c>
      <c r="H145" s="110" t="str">
        <f t="shared" si="26"/>
        <v>41 años 4 meses 11 días</v>
      </c>
      <c r="I145" s="110" t="str">
        <f t="shared" si="27"/>
        <v>4 años 0 meses 14 días</v>
      </c>
      <c r="J145" s="195"/>
      <c r="K145" s="196"/>
      <c r="L145" s="197"/>
      <c r="M145" s="144">
        <v>32541.78</v>
      </c>
      <c r="N145" s="115">
        <f>M145*G145</f>
        <v>20338.612499999999</v>
      </c>
      <c r="O145" s="134" t="s">
        <v>2412</v>
      </c>
      <c r="P145" s="134" t="s">
        <v>33</v>
      </c>
      <c r="Q145" s="115" t="s">
        <v>2944</v>
      </c>
      <c r="R145" s="145">
        <v>42794</v>
      </c>
      <c r="S145" s="146">
        <v>45363</v>
      </c>
      <c r="T145" s="145">
        <v>30254</v>
      </c>
      <c r="U145" s="145">
        <v>43888</v>
      </c>
      <c r="V145" s="116">
        <v>37544</v>
      </c>
      <c r="W145" s="116">
        <v>42794</v>
      </c>
      <c r="X145" s="116"/>
      <c r="Y145" s="116"/>
      <c r="Z145" s="52"/>
      <c r="AA145" s="52"/>
      <c r="AB145" s="52"/>
      <c r="AC145" s="117"/>
      <c r="AD145" s="118" t="s">
        <v>35</v>
      </c>
      <c r="AE145" s="119" t="s">
        <v>36</v>
      </c>
      <c r="AF145" s="135" t="s">
        <v>37</v>
      </c>
      <c r="AH145" s="118"/>
      <c r="AI145" s="118"/>
      <c r="AJ145" s="118"/>
      <c r="AL145" s="118"/>
      <c r="AM145" s="118"/>
      <c r="AN145" s="118"/>
    </row>
    <row r="146" spans="1:40" s="93" customFormat="1" ht="50.1" customHeight="1" x14ac:dyDescent="0.25">
      <c r="A146" s="110">
        <v>28</v>
      </c>
      <c r="B146" s="139"/>
      <c r="C146" s="140" t="s">
        <v>211</v>
      </c>
      <c r="D146" s="140" t="s">
        <v>2767</v>
      </c>
      <c r="E146" s="141" t="s">
        <v>2768</v>
      </c>
      <c r="F146" s="142" t="str">
        <f t="shared" si="28"/>
        <v>24 años 6 meses 0 días</v>
      </c>
      <c r="G146" s="143">
        <v>0.72499999999999998</v>
      </c>
      <c r="H146" s="110" t="str">
        <f t="shared" si="26"/>
        <v>47 años 8 meses 24 días</v>
      </c>
      <c r="I146" s="110" t="str">
        <f t="shared" si="27"/>
        <v>2 años 5 meses 5 días</v>
      </c>
      <c r="J146" s="195"/>
      <c r="K146" s="196"/>
      <c r="L146" s="197"/>
      <c r="M146" s="144">
        <v>31510.28</v>
      </c>
      <c r="N146" s="115">
        <f t="shared" ref="N146:N161" si="32">M146*G146</f>
        <v>22844.952999999998</v>
      </c>
      <c r="O146" s="134"/>
      <c r="P146" s="134" t="s">
        <v>42</v>
      </c>
      <c r="Q146" s="115" t="s">
        <v>336</v>
      </c>
      <c r="R146" s="145">
        <v>36557</v>
      </c>
      <c r="S146" s="146">
        <v>45505</v>
      </c>
      <c r="T146" s="145">
        <v>28072</v>
      </c>
      <c r="U146" s="145">
        <v>44619</v>
      </c>
      <c r="V146" s="116"/>
      <c r="W146" s="116"/>
      <c r="X146" s="116"/>
      <c r="Y146" s="116"/>
      <c r="Z146" s="52"/>
      <c r="AA146" s="52"/>
      <c r="AB146" s="52"/>
      <c r="AC146" s="117"/>
      <c r="AD146" s="118" t="s">
        <v>48</v>
      </c>
      <c r="AE146" s="119" t="s">
        <v>36</v>
      </c>
      <c r="AF146" s="135" t="s">
        <v>37</v>
      </c>
      <c r="AH146" s="118"/>
      <c r="AI146" s="118"/>
      <c r="AJ146" s="118"/>
      <c r="AL146" s="118"/>
      <c r="AM146" s="118"/>
      <c r="AN146" s="118"/>
    </row>
    <row r="147" spans="1:40" s="93" customFormat="1" ht="50.1" customHeight="1" x14ac:dyDescent="0.25">
      <c r="A147" s="110">
        <v>29</v>
      </c>
      <c r="B147" s="139"/>
      <c r="C147" s="140" t="s">
        <v>211</v>
      </c>
      <c r="D147" s="140" t="s">
        <v>2769</v>
      </c>
      <c r="E147" s="141" t="s">
        <v>2770</v>
      </c>
      <c r="F147" s="142" t="str">
        <f t="shared" si="28"/>
        <v>22 años 11 meses 16 días</v>
      </c>
      <c r="G147" s="143">
        <v>0.67500000000000004</v>
      </c>
      <c r="H147" s="110" t="str">
        <f t="shared" si="26"/>
        <v>42 años 8 meses 28 días</v>
      </c>
      <c r="I147" s="110" t="str">
        <f t="shared" si="27"/>
        <v>1 años 5 meses 5 días</v>
      </c>
      <c r="J147" s="195"/>
      <c r="K147" s="196"/>
      <c r="L147" s="197"/>
      <c r="M147" s="144">
        <v>31510.28</v>
      </c>
      <c r="N147" s="115">
        <f t="shared" si="32"/>
        <v>21269.439000000002</v>
      </c>
      <c r="O147" s="134"/>
      <c r="P147" s="134" t="s">
        <v>42</v>
      </c>
      <c r="Q147" s="115" t="s">
        <v>336</v>
      </c>
      <c r="R147" s="145">
        <v>37119</v>
      </c>
      <c r="S147" s="146">
        <v>45505</v>
      </c>
      <c r="T147" s="145">
        <v>29894</v>
      </c>
      <c r="U147" s="145">
        <v>44984</v>
      </c>
      <c r="V147" s="116"/>
      <c r="W147" s="116"/>
      <c r="X147" s="116"/>
      <c r="Y147" s="116"/>
      <c r="Z147" s="52"/>
      <c r="AA147" s="52"/>
      <c r="AB147" s="52"/>
      <c r="AC147" s="117"/>
      <c r="AD147" s="118" t="s">
        <v>48</v>
      </c>
      <c r="AE147" s="119" t="s">
        <v>36</v>
      </c>
      <c r="AF147" s="135" t="s">
        <v>37</v>
      </c>
      <c r="AH147" s="118"/>
      <c r="AI147" s="118"/>
      <c r="AJ147" s="118"/>
      <c r="AL147" s="118"/>
      <c r="AM147" s="118"/>
      <c r="AN147" s="118"/>
    </row>
    <row r="148" spans="1:40" s="93" customFormat="1" ht="50.1" customHeight="1" x14ac:dyDescent="0.25">
      <c r="A148" s="110">
        <v>30</v>
      </c>
      <c r="B148" s="139"/>
      <c r="C148" s="140" t="s">
        <v>211</v>
      </c>
      <c r="D148" s="140" t="s">
        <v>2771</v>
      </c>
      <c r="E148" s="141" t="s">
        <v>2772</v>
      </c>
      <c r="F148" s="142" t="str">
        <f t="shared" si="28"/>
        <v>25 años 3 meses 0 días</v>
      </c>
      <c r="G148" s="143">
        <v>0.72499999999999998</v>
      </c>
      <c r="H148" s="110" t="str">
        <f t="shared" si="26"/>
        <v>44 años 8 meses 17 días</v>
      </c>
      <c r="I148" s="110" t="str">
        <f t="shared" si="27"/>
        <v>7 años 5 meses 5 días</v>
      </c>
      <c r="J148" s="195"/>
      <c r="K148" s="196"/>
      <c r="L148" s="197"/>
      <c r="M148" s="144">
        <f>32541.78</f>
        <v>32541.78</v>
      </c>
      <c r="N148" s="115">
        <f t="shared" si="32"/>
        <v>23592.790499999999</v>
      </c>
      <c r="O148" s="134"/>
      <c r="P148" s="134" t="s">
        <v>42</v>
      </c>
      <c r="Q148" s="115" t="s">
        <v>336</v>
      </c>
      <c r="R148" s="145">
        <v>36281</v>
      </c>
      <c r="S148" s="146">
        <v>45505</v>
      </c>
      <c r="T148" s="145">
        <v>29174</v>
      </c>
      <c r="U148" s="145">
        <v>42793</v>
      </c>
      <c r="V148" s="116"/>
      <c r="W148" s="116"/>
      <c r="X148" s="116"/>
      <c r="Y148" s="116"/>
      <c r="Z148" s="52"/>
      <c r="AA148" s="52"/>
      <c r="AB148" s="52"/>
      <c r="AC148" s="117"/>
      <c r="AD148" s="118" t="s">
        <v>48</v>
      </c>
      <c r="AE148" s="119" t="s">
        <v>36</v>
      </c>
      <c r="AF148" s="135" t="s">
        <v>37</v>
      </c>
      <c r="AH148" s="118"/>
      <c r="AI148" s="118"/>
      <c r="AJ148" s="118"/>
      <c r="AL148" s="118"/>
      <c r="AM148" s="118"/>
      <c r="AN148" s="118"/>
    </row>
    <row r="149" spans="1:40" s="93" customFormat="1" ht="50.1" customHeight="1" x14ac:dyDescent="0.25">
      <c r="A149" s="110">
        <v>31</v>
      </c>
      <c r="B149" s="139"/>
      <c r="C149" s="140" t="s">
        <v>211</v>
      </c>
      <c r="D149" s="140" t="s">
        <v>2773</v>
      </c>
      <c r="E149" s="141" t="s">
        <v>2774</v>
      </c>
      <c r="F149" s="142" t="str">
        <f t="shared" si="28"/>
        <v>24 años 11 meses 0 días</v>
      </c>
      <c r="G149" s="143">
        <v>0.72499999999999998</v>
      </c>
      <c r="H149" s="110" t="str">
        <f t="shared" si="26"/>
        <v>40 años 10 meses 13 días</v>
      </c>
      <c r="I149" s="110" t="str">
        <f t="shared" si="27"/>
        <v>6 años 5 meses 5 días</v>
      </c>
      <c r="J149" s="195"/>
      <c r="K149" s="196"/>
      <c r="L149" s="197"/>
      <c r="M149" s="144">
        <f>32541.78</f>
        <v>32541.78</v>
      </c>
      <c r="N149" s="115">
        <f t="shared" si="32"/>
        <v>23592.790499999999</v>
      </c>
      <c r="O149" s="134"/>
      <c r="P149" s="134" t="s">
        <v>42</v>
      </c>
      <c r="Q149" s="115" t="s">
        <v>336</v>
      </c>
      <c r="R149" s="145">
        <v>36404</v>
      </c>
      <c r="S149" s="146">
        <v>45505</v>
      </c>
      <c r="T149" s="145">
        <v>30578</v>
      </c>
      <c r="U149" s="145">
        <v>43158</v>
      </c>
      <c r="V149" s="116"/>
      <c r="W149" s="116"/>
      <c r="X149" s="116"/>
      <c r="Y149" s="116"/>
      <c r="Z149" s="52"/>
      <c r="AA149" s="52"/>
      <c r="AB149" s="52"/>
      <c r="AC149" s="117"/>
      <c r="AD149" s="118" t="s">
        <v>48</v>
      </c>
      <c r="AE149" s="119" t="s">
        <v>36</v>
      </c>
      <c r="AF149" s="135" t="s">
        <v>37</v>
      </c>
      <c r="AH149" s="118"/>
      <c r="AI149" s="118"/>
      <c r="AJ149" s="118"/>
      <c r="AL149" s="118"/>
      <c r="AM149" s="118"/>
      <c r="AN149" s="118"/>
    </row>
    <row r="150" spans="1:40" s="93" customFormat="1" ht="50.1" customHeight="1" x14ac:dyDescent="0.25">
      <c r="A150" s="110">
        <v>32</v>
      </c>
      <c r="B150" s="139"/>
      <c r="C150" s="140" t="s">
        <v>211</v>
      </c>
      <c r="D150" s="140" t="s">
        <v>2775</v>
      </c>
      <c r="E150" s="141" t="s">
        <v>2776</v>
      </c>
      <c r="F150" s="142" t="str">
        <f t="shared" si="28"/>
        <v>28 años 7 meses 4 días</v>
      </c>
      <c r="G150" s="143">
        <v>0.82499999999999996</v>
      </c>
      <c r="H150" s="110" t="str">
        <f t="shared" si="26"/>
        <v>46 años 5 meses 11 días</v>
      </c>
      <c r="I150" s="110" t="str">
        <f t="shared" si="27"/>
        <v>7 años 5 meses 5 días</v>
      </c>
      <c r="J150" s="195"/>
      <c r="K150" s="196"/>
      <c r="L150" s="197"/>
      <c r="M150" s="144">
        <f>32541.77</f>
        <v>32541.77</v>
      </c>
      <c r="N150" s="115">
        <f t="shared" si="32"/>
        <v>26846.96025</v>
      </c>
      <c r="O150" s="134"/>
      <c r="P150" s="134" t="s">
        <v>42</v>
      </c>
      <c r="Q150" s="115" t="s">
        <v>336</v>
      </c>
      <c r="R150" s="145">
        <v>38078</v>
      </c>
      <c r="S150" s="146">
        <v>45505</v>
      </c>
      <c r="T150" s="145">
        <v>28542</v>
      </c>
      <c r="U150" s="145">
        <v>42793</v>
      </c>
      <c r="V150" s="116">
        <v>35004</v>
      </c>
      <c r="W150" s="116">
        <v>38022</v>
      </c>
      <c r="X150" s="116"/>
      <c r="Y150" s="116"/>
      <c r="Z150" s="52"/>
      <c r="AA150" s="52"/>
      <c r="AB150" s="52"/>
      <c r="AC150" s="117"/>
      <c r="AD150" s="118" t="s">
        <v>268</v>
      </c>
      <c r="AE150" s="119" t="s">
        <v>36</v>
      </c>
      <c r="AF150" s="135" t="s">
        <v>37</v>
      </c>
      <c r="AH150" s="118"/>
      <c r="AI150" s="118"/>
      <c r="AJ150" s="118"/>
      <c r="AL150" s="118"/>
      <c r="AM150" s="118"/>
      <c r="AN150" s="118"/>
    </row>
    <row r="151" spans="1:40" s="93" customFormat="1" ht="50.1" customHeight="1" x14ac:dyDescent="0.25">
      <c r="A151" s="110">
        <v>33</v>
      </c>
      <c r="B151" s="139"/>
      <c r="C151" s="140" t="s">
        <v>211</v>
      </c>
      <c r="D151" s="140" t="s">
        <v>2777</v>
      </c>
      <c r="E151" s="141" t="s">
        <v>2778</v>
      </c>
      <c r="F151" s="142" t="str">
        <f t="shared" si="28"/>
        <v>28 años 7 meses 0 días</v>
      </c>
      <c r="G151" s="143">
        <v>0.82499999999999996</v>
      </c>
      <c r="H151" s="110" t="str">
        <f t="shared" si="26"/>
        <v>49 años 0 meses 19 días</v>
      </c>
      <c r="I151" s="110" t="str">
        <f t="shared" si="27"/>
        <v>7 años 5 meses 5 días</v>
      </c>
      <c r="J151" s="195"/>
      <c r="K151" s="196"/>
      <c r="L151" s="197"/>
      <c r="M151" s="144">
        <f>32541.77</f>
        <v>32541.77</v>
      </c>
      <c r="N151" s="115">
        <f t="shared" si="32"/>
        <v>26846.96025</v>
      </c>
      <c r="O151" s="134"/>
      <c r="P151" s="134" t="s">
        <v>42</v>
      </c>
      <c r="Q151" s="115" t="s">
        <v>336</v>
      </c>
      <c r="R151" s="145">
        <v>35065</v>
      </c>
      <c r="S151" s="146">
        <v>45505</v>
      </c>
      <c r="T151" s="145">
        <v>27588</v>
      </c>
      <c r="U151" s="145">
        <v>42793</v>
      </c>
      <c r="V151" s="116"/>
      <c r="W151" s="116"/>
      <c r="X151" s="116"/>
      <c r="Y151" s="116"/>
      <c r="Z151" s="52"/>
      <c r="AA151" s="52"/>
      <c r="AB151" s="52"/>
      <c r="AC151" s="117"/>
      <c r="AD151" s="118" t="s">
        <v>134</v>
      </c>
      <c r="AE151" s="119" t="s">
        <v>36</v>
      </c>
      <c r="AF151" s="135" t="s">
        <v>37</v>
      </c>
      <c r="AH151" s="118"/>
      <c r="AI151" s="118"/>
      <c r="AJ151" s="118"/>
      <c r="AL151" s="118"/>
      <c r="AM151" s="118"/>
      <c r="AN151" s="118"/>
    </row>
    <row r="152" spans="1:40" s="93" customFormat="1" ht="50.1" customHeight="1" x14ac:dyDescent="0.25">
      <c r="A152" s="110">
        <v>34</v>
      </c>
      <c r="B152" s="139"/>
      <c r="C152" s="140" t="s">
        <v>211</v>
      </c>
      <c r="D152" s="140" t="s">
        <v>2779</v>
      </c>
      <c r="E152" s="141" t="s">
        <v>2780</v>
      </c>
      <c r="F152" s="142" t="str">
        <f t="shared" si="28"/>
        <v>25 años 5 meses 0 días</v>
      </c>
      <c r="G152" s="143">
        <v>0.72499999999999998</v>
      </c>
      <c r="H152" s="110" t="str">
        <f t="shared" si="26"/>
        <v>59 años 0 meses 27 días</v>
      </c>
      <c r="I152" s="110" t="str">
        <f t="shared" si="27"/>
        <v>4 años 5 meses 5 días</v>
      </c>
      <c r="J152" s="195"/>
      <c r="K152" s="196"/>
      <c r="L152" s="197"/>
      <c r="M152" s="144">
        <v>31510.28</v>
      </c>
      <c r="N152" s="115">
        <f t="shared" si="32"/>
        <v>22844.952999999998</v>
      </c>
      <c r="O152" s="134"/>
      <c r="P152" s="134"/>
      <c r="Q152" s="115" t="s">
        <v>336</v>
      </c>
      <c r="R152" s="145">
        <v>36220</v>
      </c>
      <c r="S152" s="146">
        <v>45505</v>
      </c>
      <c r="T152" s="145">
        <v>23928</v>
      </c>
      <c r="U152" s="145">
        <v>43888</v>
      </c>
      <c r="V152" s="116"/>
      <c r="W152" s="116"/>
      <c r="X152" s="116"/>
      <c r="Y152" s="116"/>
      <c r="Z152" s="52"/>
      <c r="AA152" s="52"/>
      <c r="AB152" s="52"/>
      <c r="AC152" s="117"/>
      <c r="AD152" s="118" t="s">
        <v>48</v>
      </c>
      <c r="AE152" s="119" t="s">
        <v>36</v>
      </c>
      <c r="AF152" s="135" t="s">
        <v>37</v>
      </c>
      <c r="AH152" s="118"/>
      <c r="AI152" s="118"/>
      <c r="AJ152" s="118"/>
      <c r="AL152" s="118"/>
      <c r="AM152" s="118"/>
      <c r="AN152" s="118"/>
    </row>
    <row r="153" spans="1:40" s="93" customFormat="1" ht="50.1" customHeight="1" x14ac:dyDescent="0.25">
      <c r="A153" s="110">
        <v>35</v>
      </c>
      <c r="B153" s="139"/>
      <c r="C153" s="140" t="s">
        <v>211</v>
      </c>
      <c r="D153" s="140" t="s">
        <v>2781</v>
      </c>
      <c r="E153" s="141" t="s">
        <v>2782</v>
      </c>
      <c r="F153" s="142" t="str">
        <f t="shared" si="28"/>
        <v>23 años 7 meses 0 días</v>
      </c>
      <c r="G153" s="143">
        <v>0.7</v>
      </c>
      <c r="H153" s="110" t="str">
        <f t="shared" si="26"/>
        <v>42 años 0 meses 17 días</v>
      </c>
      <c r="I153" s="110" t="str">
        <f t="shared" si="27"/>
        <v>5 años 5 meses 5 días</v>
      </c>
      <c r="J153" s="195"/>
      <c r="K153" s="196"/>
      <c r="L153" s="197"/>
      <c r="M153" s="144">
        <f>32541.78</f>
        <v>32541.78</v>
      </c>
      <c r="N153" s="115">
        <f t="shared" si="32"/>
        <v>22779.245999999999</v>
      </c>
      <c r="O153" s="134"/>
      <c r="P153" s="134" t="s">
        <v>42</v>
      </c>
      <c r="Q153" s="115" t="s">
        <v>336</v>
      </c>
      <c r="R153" s="145">
        <v>36892</v>
      </c>
      <c r="S153" s="146">
        <v>45505</v>
      </c>
      <c r="T153" s="145">
        <v>30147</v>
      </c>
      <c r="U153" s="145">
        <v>43523</v>
      </c>
      <c r="V153" s="116"/>
      <c r="W153" s="116"/>
      <c r="X153" s="116"/>
      <c r="Y153" s="116"/>
      <c r="Z153" s="52"/>
      <c r="AA153" s="52"/>
      <c r="AB153" s="52"/>
      <c r="AC153" s="117"/>
      <c r="AD153" s="118" t="s">
        <v>48</v>
      </c>
      <c r="AE153" s="119" t="s">
        <v>36</v>
      </c>
      <c r="AF153" s="135" t="s">
        <v>37</v>
      </c>
      <c r="AH153" s="118"/>
      <c r="AI153" s="118"/>
      <c r="AJ153" s="118"/>
      <c r="AL153" s="118"/>
      <c r="AM153" s="118"/>
      <c r="AN153" s="118"/>
    </row>
    <row r="154" spans="1:40" s="93" customFormat="1" ht="50.1" customHeight="1" x14ac:dyDescent="0.25">
      <c r="A154" s="110">
        <v>36</v>
      </c>
      <c r="B154" s="139"/>
      <c r="C154" s="140" t="s">
        <v>218</v>
      </c>
      <c r="D154" s="140" t="s">
        <v>2783</v>
      </c>
      <c r="E154" s="141" t="s">
        <v>2784</v>
      </c>
      <c r="F154" s="142" t="str">
        <f t="shared" si="28"/>
        <v>23 años 2 meses 14 días</v>
      </c>
      <c r="G154" s="143">
        <v>0.67500000000000004</v>
      </c>
      <c r="H154" s="110" t="str">
        <f t="shared" si="26"/>
        <v>42 años 4 meses 8 días</v>
      </c>
      <c r="I154" s="110" t="str">
        <f t="shared" si="27"/>
        <v>6 años 0 meses 17 días</v>
      </c>
      <c r="J154" s="195"/>
      <c r="K154" s="196"/>
      <c r="L154" s="197"/>
      <c r="M154" s="144">
        <f>32541.78</f>
        <v>32541.78</v>
      </c>
      <c r="N154" s="115">
        <f t="shared" si="32"/>
        <v>21965.701499999999</v>
      </c>
      <c r="O154" s="134" t="s">
        <v>2412</v>
      </c>
      <c r="P154" s="134" t="s">
        <v>33</v>
      </c>
      <c r="Q154" s="115" t="s">
        <v>2944</v>
      </c>
      <c r="R154" s="145">
        <v>36892</v>
      </c>
      <c r="S154" s="146">
        <v>45366</v>
      </c>
      <c r="T154" s="145">
        <v>29897</v>
      </c>
      <c r="U154" s="145">
        <v>43158</v>
      </c>
      <c r="V154" s="116"/>
      <c r="W154" s="116"/>
      <c r="X154" s="116"/>
      <c r="Y154" s="116"/>
      <c r="Z154" s="52"/>
      <c r="AA154" s="52"/>
      <c r="AB154" s="52"/>
      <c r="AC154" s="117"/>
      <c r="AD154" s="118" t="s">
        <v>35</v>
      </c>
      <c r="AE154" s="119" t="s">
        <v>36</v>
      </c>
      <c r="AF154" s="135" t="s">
        <v>37</v>
      </c>
      <c r="AH154" s="118"/>
      <c r="AI154" s="118"/>
      <c r="AJ154" s="118"/>
      <c r="AL154" s="118"/>
      <c r="AM154" s="118"/>
      <c r="AN154" s="118"/>
    </row>
    <row r="155" spans="1:40" s="93" customFormat="1" ht="50.1" customHeight="1" x14ac:dyDescent="0.25">
      <c r="A155" s="110">
        <v>37</v>
      </c>
      <c r="B155" s="139"/>
      <c r="C155" s="140" t="s">
        <v>218</v>
      </c>
      <c r="D155" s="140" t="s">
        <v>2785</v>
      </c>
      <c r="E155" s="141" t="s">
        <v>2786</v>
      </c>
      <c r="F155" s="142" t="str">
        <f t="shared" si="28"/>
        <v>28 años 2 meses 11 días</v>
      </c>
      <c r="G155" s="143">
        <v>0.8</v>
      </c>
      <c r="H155" s="110" t="str">
        <f t="shared" si="26"/>
        <v>50 años 6 meses 4 días</v>
      </c>
      <c r="I155" s="110" t="str">
        <f t="shared" si="27"/>
        <v>6 años 0 meses 14 días</v>
      </c>
      <c r="J155" s="195"/>
      <c r="K155" s="196"/>
      <c r="L155" s="197"/>
      <c r="M155" s="144">
        <f>32541.78</f>
        <v>32541.78</v>
      </c>
      <c r="N155" s="115">
        <f t="shared" si="32"/>
        <v>26033.423999999999</v>
      </c>
      <c r="O155" s="134" t="s">
        <v>2412</v>
      </c>
      <c r="P155" s="134" t="s">
        <v>33</v>
      </c>
      <c r="Q155" s="115" t="s">
        <v>2944</v>
      </c>
      <c r="R155" s="145">
        <v>35065</v>
      </c>
      <c r="S155" s="146">
        <v>45363</v>
      </c>
      <c r="T155" s="145">
        <v>26915</v>
      </c>
      <c r="U155" s="145">
        <v>43158</v>
      </c>
      <c r="V155" s="116"/>
      <c r="W155" s="116"/>
      <c r="X155" s="116"/>
      <c r="Y155" s="116"/>
      <c r="Z155" s="52"/>
      <c r="AA155" s="52"/>
      <c r="AB155" s="52"/>
      <c r="AC155" s="117"/>
      <c r="AD155" s="118" t="s">
        <v>134</v>
      </c>
      <c r="AE155" s="119" t="s">
        <v>36</v>
      </c>
      <c r="AF155" s="135" t="s">
        <v>37</v>
      </c>
      <c r="AH155" s="118"/>
      <c r="AI155" s="118"/>
      <c r="AJ155" s="118"/>
      <c r="AL155" s="118"/>
      <c r="AM155" s="118"/>
      <c r="AN155" s="118"/>
    </row>
    <row r="156" spans="1:40" s="93" customFormat="1" ht="50.1" customHeight="1" x14ac:dyDescent="0.25">
      <c r="A156" s="110">
        <v>38</v>
      </c>
      <c r="B156" s="139"/>
      <c r="C156" s="140" t="s">
        <v>149</v>
      </c>
      <c r="D156" s="140" t="s">
        <v>2787</v>
      </c>
      <c r="E156" s="141" t="s">
        <v>2788</v>
      </c>
      <c r="F156" s="142" t="str">
        <f t="shared" si="28"/>
        <v>20 años 0 meses 20 días</v>
      </c>
      <c r="G156" s="143">
        <v>0.6</v>
      </c>
      <c r="H156" s="110" t="str">
        <f t="shared" si="26"/>
        <v>45 años 7 meses 3 días</v>
      </c>
      <c r="I156" s="110" t="str">
        <f t="shared" si="27"/>
        <v>0 años 2 meses 24 días</v>
      </c>
      <c r="J156" s="195"/>
      <c r="K156" s="196"/>
      <c r="L156" s="197"/>
      <c r="M156" s="144">
        <f>30394.94</f>
        <v>30394.94</v>
      </c>
      <c r="N156" s="115">
        <f t="shared" si="32"/>
        <v>18236.964</v>
      </c>
      <c r="O156" s="134" t="s">
        <v>2360</v>
      </c>
      <c r="P156" s="134" t="s">
        <v>42</v>
      </c>
      <c r="Q156" s="115" t="s">
        <v>339</v>
      </c>
      <c r="R156" s="145">
        <v>38108</v>
      </c>
      <c r="S156" s="146">
        <v>45433</v>
      </c>
      <c r="T156" s="145">
        <v>28781</v>
      </c>
      <c r="U156" s="145">
        <v>45349</v>
      </c>
      <c r="V156" s="116"/>
      <c r="W156" s="116"/>
      <c r="X156" s="116"/>
      <c r="Y156" s="116"/>
      <c r="Z156" s="52"/>
      <c r="AA156" s="52"/>
      <c r="AB156" s="52"/>
      <c r="AC156" s="117"/>
      <c r="AD156" s="118" t="s">
        <v>35</v>
      </c>
      <c r="AE156" s="119" t="s">
        <v>36</v>
      </c>
      <c r="AF156" s="135" t="s">
        <v>37</v>
      </c>
      <c r="AH156" s="118"/>
      <c r="AI156" s="118"/>
      <c r="AJ156" s="118"/>
      <c r="AL156" s="118"/>
      <c r="AM156" s="118"/>
      <c r="AN156" s="118"/>
    </row>
    <row r="157" spans="1:40" s="93" customFormat="1" ht="50.1" customHeight="1" x14ac:dyDescent="0.25">
      <c r="A157" s="110">
        <v>39</v>
      </c>
      <c r="B157" s="139"/>
      <c r="C157" s="140" t="s">
        <v>149</v>
      </c>
      <c r="D157" s="140" t="s">
        <v>2789</v>
      </c>
      <c r="E157" s="141" t="s">
        <v>2790</v>
      </c>
      <c r="F157" s="142" t="str">
        <f t="shared" si="28"/>
        <v>20 años 0 meses 9 días</v>
      </c>
      <c r="G157" s="143">
        <v>0.6</v>
      </c>
      <c r="H157" s="110" t="str">
        <f t="shared" si="26"/>
        <v>41 años 6 meses 13 días</v>
      </c>
      <c r="I157" s="110" t="str">
        <f t="shared" si="27"/>
        <v>5 años 1 meses 14 días</v>
      </c>
      <c r="J157" s="195"/>
      <c r="K157" s="196"/>
      <c r="L157" s="197"/>
      <c r="M157" s="144">
        <f>31510.27</f>
        <v>31510.27</v>
      </c>
      <c r="N157" s="115">
        <f t="shared" si="32"/>
        <v>18906.162</v>
      </c>
      <c r="O157" s="134" t="s">
        <v>2360</v>
      </c>
      <c r="P157" s="134" t="s">
        <v>42</v>
      </c>
      <c r="Q157" s="115" t="s">
        <v>339</v>
      </c>
      <c r="R157" s="145">
        <v>38078</v>
      </c>
      <c r="S157" s="146">
        <v>45392</v>
      </c>
      <c r="T157" s="145">
        <v>30222</v>
      </c>
      <c r="U157" s="145">
        <v>43523</v>
      </c>
      <c r="V157" s="116"/>
      <c r="W157" s="116"/>
      <c r="X157" s="116"/>
      <c r="Y157" s="116"/>
      <c r="Z157" s="52"/>
      <c r="AA157" s="52"/>
      <c r="AB157" s="52"/>
      <c r="AC157" s="117"/>
      <c r="AD157" s="118" t="s">
        <v>134</v>
      </c>
      <c r="AE157" s="119" t="s">
        <v>36</v>
      </c>
      <c r="AF157" s="135" t="s">
        <v>37</v>
      </c>
      <c r="AH157" s="118"/>
      <c r="AI157" s="118"/>
      <c r="AJ157" s="118"/>
      <c r="AL157" s="118"/>
      <c r="AM157" s="118"/>
      <c r="AN157" s="118"/>
    </row>
    <row r="158" spans="1:40" s="93" customFormat="1" ht="50.1" customHeight="1" x14ac:dyDescent="0.25">
      <c r="A158" s="110">
        <v>40</v>
      </c>
      <c r="B158" s="139"/>
      <c r="C158" s="140" t="s">
        <v>149</v>
      </c>
      <c r="D158" s="140" t="s">
        <v>2791</v>
      </c>
      <c r="E158" s="141" t="s">
        <v>2792</v>
      </c>
      <c r="F158" s="142" t="str">
        <f t="shared" si="28"/>
        <v>20 años 0 meses 9 días</v>
      </c>
      <c r="G158" s="143">
        <v>0.6</v>
      </c>
      <c r="H158" s="110" t="str">
        <f t="shared" si="26"/>
        <v>40 años 5 meses 6 días</v>
      </c>
      <c r="I158" s="110" t="str">
        <f t="shared" si="27"/>
        <v>5 años 1 meses 14 días</v>
      </c>
      <c r="J158" s="195"/>
      <c r="K158" s="196"/>
      <c r="L158" s="197"/>
      <c r="M158" s="144">
        <f>31510.27</f>
        <v>31510.27</v>
      </c>
      <c r="N158" s="115">
        <f t="shared" si="32"/>
        <v>18906.162</v>
      </c>
      <c r="O158" s="134" t="s">
        <v>2360</v>
      </c>
      <c r="P158" s="134" t="s">
        <v>42</v>
      </c>
      <c r="Q158" s="115" t="s">
        <v>339</v>
      </c>
      <c r="R158" s="145">
        <v>38078</v>
      </c>
      <c r="S158" s="146">
        <v>45392</v>
      </c>
      <c r="T158" s="145">
        <v>30624</v>
      </c>
      <c r="U158" s="145">
        <v>43523</v>
      </c>
      <c r="V158" s="116"/>
      <c r="W158" s="116"/>
      <c r="X158" s="116"/>
      <c r="Y158" s="116"/>
      <c r="Z158" s="52"/>
      <c r="AA158" s="52"/>
      <c r="AB158" s="52"/>
      <c r="AC158" s="117"/>
      <c r="AD158" s="118" t="s">
        <v>35</v>
      </c>
      <c r="AE158" s="119" t="s">
        <v>36</v>
      </c>
      <c r="AF158" s="135" t="s">
        <v>37</v>
      </c>
      <c r="AH158" s="118"/>
      <c r="AI158" s="118"/>
      <c r="AJ158" s="118"/>
      <c r="AL158" s="118"/>
      <c r="AM158" s="118"/>
      <c r="AN158" s="118"/>
    </row>
    <row r="159" spans="1:40" s="93" customFormat="1" ht="50.1" customHeight="1" x14ac:dyDescent="0.25">
      <c r="A159" s="110">
        <v>41</v>
      </c>
      <c r="B159" s="139"/>
      <c r="C159" s="140" t="s">
        <v>149</v>
      </c>
      <c r="D159" s="140" t="s">
        <v>2793</v>
      </c>
      <c r="E159" s="141" t="s">
        <v>2794</v>
      </c>
      <c r="F159" s="142" t="str">
        <f t="shared" si="28"/>
        <v>20 años 0 meses 9 días</v>
      </c>
      <c r="G159" s="143">
        <v>0.6</v>
      </c>
      <c r="H159" s="110" t="str">
        <f t="shared" si="26"/>
        <v>40 años 9 meses 5 días</v>
      </c>
      <c r="I159" s="110" t="str">
        <f t="shared" si="27"/>
        <v>5 años 1 meses 14 días</v>
      </c>
      <c r="J159" s="195"/>
      <c r="K159" s="196"/>
      <c r="L159" s="197"/>
      <c r="M159" s="144">
        <f>31510.27</f>
        <v>31510.27</v>
      </c>
      <c r="N159" s="115">
        <f t="shared" si="32"/>
        <v>18906.162</v>
      </c>
      <c r="O159" s="134" t="s">
        <v>2360</v>
      </c>
      <c r="P159" s="134" t="s">
        <v>42</v>
      </c>
      <c r="Q159" s="115" t="s">
        <v>339</v>
      </c>
      <c r="R159" s="145">
        <v>38078</v>
      </c>
      <c r="S159" s="146">
        <v>45392</v>
      </c>
      <c r="T159" s="145">
        <v>30502</v>
      </c>
      <c r="U159" s="145">
        <v>43523</v>
      </c>
      <c r="V159" s="116"/>
      <c r="W159" s="116"/>
      <c r="X159" s="116"/>
      <c r="Y159" s="116"/>
      <c r="Z159" s="52"/>
      <c r="AA159" s="52"/>
      <c r="AB159" s="52"/>
      <c r="AC159" s="117"/>
      <c r="AD159" s="118" t="s">
        <v>134</v>
      </c>
      <c r="AE159" s="119" t="s">
        <v>36</v>
      </c>
      <c r="AF159" s="135" t="s">
        <v>37</v>
      </c>
      <c r="AH159" s="118"/>
      <c r="AI159" s="118"/>
      <c r="AJ159" s="118"/>
      <c r="AL159" s="118"/>
      <c r="AM159" s="118"/>
      <c r="AN159" s="118"/>
    </row>
    <row r="160" spans="1:40" s="93" customFormat="1" ht="50.1" customHeight="1" x14ac:dyDescent="0.25">
      <c r="A160" s="110">
        <v>42</v>
      </c>
      <c r="B160" s="139"/>
      <c r="C160" s="140" t="s">
        <v>149</v>
      </c>
      <c r="D160" s="140" t="s">
        <v>2795</v>
      </c>
      <c r="E160" s="141" t="s">
        <v>2796</v>
      </c>
      <c r="F160" s="142" t="str">
        <f t="shared" si="28"/>
        <v>24 años 0 meses 18 días</v>
      </c>
      <c r="G160" s="143">
        <v>0.7</v>
      </c>
      <c r="H160" s="110" t="str">
        <f t="shared" si="26"/>
        <v>43 años 1 meses 25 días</v>
      </c>
      <c r="I160" s="110" t="str">
        <f t="shared" si="27"/>
        <v>6 años 1 meses 23 días</v>
      </c>
      <c r="J160" s="195"/>
      <c r="K160" s="196"/>
      <c r="L160" s="197"/>
      <c r="M160" s="144">
        <f>31510.27</f>
        <v>31510.27</v>
      </c>
      <c r="N160" s="115">
        <f t="shared" si="32"/>
        <v>22057.188999999998</v>
      </c>
      <c r="O160" s="134" t="s">
        <v>2360</v>
      </c>
      <c r="P160" s="134" t="s">
        <v>42</v>
      </c>
      <c r="Q160" s="115" t="s">
        <v>339</v>
      </c>
      <c r="R160" s="145">
        <v>36617</v>
      </c>
      <c r="S160" s="146">
        <v>45401</v>
      </c>
      <c r="T160" s="145">
        <v>29642</v>
      </c>
      <c r="U160" s="145">
        <v>43158</v>
      </c>
      <c r="V160" s="116"/>
      <c r="W160" s="116"/>
      <c r="X160" s="116"/>
      <c r="Y160" s="116"/>
      <c r="Z160" s="52"/>
      <c r="AA160" s="52"/>
      <c r="AB160" s="52"/>
      <c r="AC160" s="117"/>
      <c r="AD160" s="118" t="s">
        <v>35</v>
      </c>
      <c r="AE160" s="119" t="s">
        <v>36</v>
      </c>
      <c r="AF160" s="135" t="s">
        <v>37</v>
      </c>
      <c r="AH160" s="118"/>
      <c r="AI160" s="118"/>
      <c r="AJ160" s="118"/>
      <c r="AL160" s="118"/>
      <c r="AM160" s="118"/>
      <c r="AN160" s="118"/>
    </row>
    <row r="161" spans="1:40" s="93" customFormat="1" ht="50.1" customHeight="1" x14ac:dyDescent="0.25">
      <c r="A161" s="110">
        <v>43</v>
      </c>
      <c r="B161" s="139"/>
      <c r="C161" s="140" t="s">
        <v>149</v>
      </c>
      <c r="D161" s="140" t="s">
        <v>2797</v>
      </c>
      <c r="E161" s="141" t="s">
        <v>2798</v>
      </c>
      <c r="F161" s="142" t="str">
        <f t="shared" si="28"/>
        <v>20 años 1 meses 27 días</v>
      </c>
      <c r="G161" s="143">
        <v>0.6</v>
      </c>
      <c r="H161" s="110" t="str">
        <f t="shared" si="26"/>
        <v>38 años 10 meses 16 días</v>
      </c>
      <c r="I161" s="110" t="str">
        <f t="shared" si="27"/>
        <v>7 años 0 meses 1 días</v>
      </c>
      <c r="J161" s="195"/>
      <c r="K161" s="196"/>
      <c r="L161" s="197"/>
      <c r="M161" s="144">
        <v>23826.3</v>
      </c>
      <c r="N161" s="115">
        <f t="shared" si="32"/>
        <v>14295.779999999999</v>
      </c>
      <c r="O161" s="134" t="s">
        <v>2360</v>
      </c>
      <c r="P161" s="134" t="s">
        <v>42</v>
      </c>
      <c r="Q161" s="115" t="s">
        <v>339</v>
      </c>
      <c r="R161" s="145">
        <v>37987</v>
      </c>
      <c r="S161" s="146">
        <v>45350</v>
      </c>
      <c r="T161" s="145">
        <v>31149</v>
      </c>
      <c r="U161" s="145">
        <v>42793</v>
      </c>
      <c r="V161" s="116"/>
      <c r="W161" s="116"/>
      <c r="X161" s="116"/>
      <c r="Y161" s="116"/>
      <c r="Z161" s="52"/>
      <c r="AA161" s="52"/>
      <c r="AB161" s="52"/>
      <c r="AC161" s="117"/>
      <c r="AD161" s="118" t="s">
        <v>134</v>
      </c>
      <c r="AE161" s="119" t="s">
        <v>36</v>
      </c>
      <c r="AF161" s="135" t="s">
        <v>37</v>
      </c>
      <c r="AH161" s="118"/>
      <c r="AI161" s="118"/>
      <c r="AJ161" s="118"/>
      <c r="AL161" s="118"/>
      <c r="AM161" s="118"/>
      <c r="AN161" s="118"/>
    </row>
    <row r="162" spans="1:40" s="93" customFormat="1" ht="50.1" customHeight="1" x14ac:dyDescent="0.25">
      <c r="A162" s="110">
        <v>44</v>
      </c>
      <c r="B162" s="139"/>
      <c r="C162" s="140" t="s">
        <v>149</v>
      </c>
      <c r="D162" s="140" t="s">
        <v>2799</v>
      </c>
      <c r="E162" s="141" t="s">
        <v>2800</v>
      </c>
      <c r="F162" s="142" t="str">
        <f t="shared" si="28"/>
        <v>20 años 1 meses 14 días</v>
      </c>
      <c r="G162" s="143">
        <v>0.6</v>
      </c>
      <c r="H162" s="110" t="str">
        <f t="shared" si="26"/>
        <v>53 años 4 meses 28 días</v>
      </c>
      <c r="I162" s="110" t="str">
        <f t="shared" si="27"/>
        <v>5 años 1 meses 19 días</v>
      </c>
      <c r="J162" s="195"/>
      <c r="K162" s="196"/>
      <c r="L162" s="197"/>
      <c r="M162" s="144">
        <f>31510.27</f>
        <v>31510.27</v>
      </c>
      <c r="N162" s="115">
        <f>M162*G162</f>
        <v>18906.162</v>
      </c>
      <c r="O162" s="134" t="s">
        <v>2360</v>
      </c>
      <c r="P162" s="134" t="s">
        <v>42</v>
      </c>
      <c r="Q162" s="115" t="s">
        <v>339</v>
      </c>
      <c r="R162" s="145">
        <v>38047</v>
      </c>
      <c r="S162" s="146">
        <v>45397</v>
      </c>
      <c r="T162" s="145">
        <v>25890</v>
      </c>
      <c r="U162" s="145">
        <v>43523</v>
      </c>
      <c r="V162" s="116"/>
      <c r="W162" s="116"/>
      <c r="X162" s="116"/>
      <c r="Y162" s="116"/>
      <c r="Z162" s="52"/>
      <c r="AA162" s="52"/>
      <c r="AB162" s="52"/>
      <c r="AC162" s="117"/>
      <c r="AD162" s="118" t="s">
        <v>35</v>
      </c>
      <c r="AE162" s="119" t="s">
        <v>36</v>
      </c>
      <c r="AF162" s="135" t="s">
        <v>37</v>
      </c>
      <c r="AH162" s="118"/>
      <c r="AI162" s="118"/>
      <c r="AJ162" s="118"/>
      <c r="AL162" s="118"/>
      <c r="AM162" s="118"/>
      <c r="AN162" s="118"/>
    </row>
    <row r="163" spans="1:40" s="93" customFormat="1" ht="50.1" customHeight="1" x14ac:dyDescent="0.25">
      <c r="A163" s="110">
        <v>45</v>
      </c>
      <c r="B163" s="139"/>
      <c r="C163" s="140" t="s">
        <v>2508</v>
      </c>
      <c r="D163" s="140" t="s">
        <v>2801</v>
      </c>
      <c r="E163" s="141" t="s">
        <v>2802</v>
      </c>
      <c r="F163" s="142" t="str">
        <f>DATEDIF(R163,S163,"y") + DATEDIF(V163,W163,"y") + DATEDIF(X163,Y163,"y") + DATEDIF(Z163,AA163,"y") + SUM(AH163) &amp; " años " &amp; DATEDIF(R163,S163,"ym") + DATEDIF(V163,W163,"ym") + DATEDIF(X163,Y163,"ym")  + DATEDIF(Z163,AA163,"ym") + SUM(AI163) - SUM(AM163) &amp; " meses " &amp; DATEDIF(R163,S163,"md") + DATEDIF(V163,W163,"md") + DATEDIF(X163,Y163,"md")  + DATEDIF(Z163,AA163,"md") - SUM(AN163) &amp; " días"</f>
        <v>20 años 7 meses 6 días</v>
      </c>
      <c r="G163" s="143">
        <v>0.625</v>
      </c>
      <c r="H163" s="110" t="str">
        <f t="shared" si="26"/>
        <v>65 años 4 meses 26 días</v>
      </c>
      <c r="I163" s="110"/>
      <c r="J163" s="195"/>
      <c r="K163" s="196"/>
      <c r="L163" s="197"/>
      <c r="M163" s="144">
        <f>24159.28</f>
        <v>24159.279999999999</v>
      </c>
      <c r="N163" s="115">
        <f>M163*G163</f>
        <v>15099.55</v>
      </c>
      <c r="O163" s="134" t="s">
        <v>2360</v>
      </c>
      <c r="P163" s="134" t="s">
        <v>42</v>
      </c>
      <c r="Q163" s="115" t="s">
        <v>339</v>
      </c>
      <c r="R163" s="145">
        <v>37895</v>
      </c>
      <c r="S163" s="146">
        <v>45419</v>
      </c>
      <c r="T163" s="145">
        <v>21530</v>
      </c>
      <c r="U163" s="145"/>
      <c r="V163" s="116"/>
      <c r="W163" s="116"/>
      <c r="X163" s="116"/>
      <c r="Y163" s="116"/>
      <c r="Z163" s="52"/>
      <c r="AA163" s="52"/>
      <c r="AB163" s="52"/>
      <c r="AC163" s="117"/>
      <c r="AD163" s="118" t="s">
        <v>134</v>
      </c>
      <c r="AE163" s="119" t="s">
        <v>36</v>
      </c>
      <c r="AF163" s="135" t="s">
        <v>37</v>
      </c>
      <c r="AH163" s="118"/>
      <c r="AI163" s="118"/>
      <c r="AJ163" s="118"/>
      <c r="AL163" s="118"/>
      <c r="AM163" s="118"/>
      <c r="AN163" s="118"/>
    </row>
    <row r="165" spans="1:40" s="91" customFormat="1" x14ac:dyDescent="0.25">
      <c r="A165" s="198" t="s">
        <v>234</v>
      </c>
      <c r="B165" s="199"/>
      <c r="C165" s="199"/>
      <c r="D165" s="199"/>
      <c r="E165" s="199"/>
      <c r="F165" s="199"/>
      <c r="G165" s="199"/>
      <c r="H165" s="199"/>
      <c r="I165" s="199"/>
      <c r="J165" s="199"/>
      <c r="K165" s="199"/>
      <c r="L165" s="199"/>
      <c r="M165" s="199"/>
      <c r="N165" s="199"/>
      <c r="O165" s="199"/>
      <c r="P165" s="199"/>
      <c r="Q165" s="200"/>
      <c r="R165" s="138"/>
      <c r="S165" s="90"/>
      <c r="T165" s="90"/>
      <c r="Z165" s="52"/>
      <c r="AA165" s="52"/>
      <c r="AB165" s="52"/>
      <c r="AD165" s="92"/>
      <c r="AG165" s="93"/>
      <c r="AH165" s="187" t="s">
        <v>2</v>
      </c>
      <c r="AI165" s="188"/>
      <c r="AJ165" s="189"/>
      <c r="AL165" s="187" t="s">
        <v>3</v>
      </c>
      <c r="AM165" s="188"/>
      <c r="AN165" s="189"/>
    </row>
    <row r="166" spans="1:40" s="104" customFormat="1" ht="42.75" x14ac:dyDescent="0.25">
      <c r="A166" s="94" t="s">
        <v>4</v>
      </c>
      <c r="B166" s="94" t="s">
        <v>5</v>
      </c>
      <c r="C166" s="95" t="s">
        <v>6</v>
      </c>
      <c r="D166" s="95" t="s">
        <v>7</v>
      </c>
      <c r="E166" s="94" t="s">
        <v>8</v>
      </c>
      <c r="F166" s="96" t="s">
        <v>9</v>
      </c>
      <c r="G166" s="96" t="s">
        <v>10</v>
      </c>
      <c r="H166" s="95" t="s">
        <v>11</v>
      </c>
      <c r="I166" s="97" t="s">
        <v>12</v>
      </c>
      <c r="J166" s="182" t="s">
        <v>13</v>
      </c>
      <c r="K166" s="183"/>
      <c r="L166" s="98" t="s">
        <v>14</v>
      </c>
      <c r="M166" s="99" t="s">
        <v>15</v>
      </c>
      <c r="N166" s="99" t="s">
        <v>17</v>
      </c>
      <c r="O166" s="99" t="s">
        <v>18</v>
      </c>
      <c r="P166" s="99" t="s">
        <v>18</v>
      </c>
      <c r="Q166" s="99" t="s">
        <v>335</v>
      </c>
      <c r="R166" s="99" t="s">
        <v>1950</v>
      </c>
      <c r="S166" s="100" t="s">
        <v>19</v>
      </c>
      <c r="T166" s="100" t="s">
        <v>20</v>
      </c>
      <c r="U166" s="101" t="s">
        <v>21</v>
      </c>
      <c r="V166" s="95" t="s">
        <v>13</v>
      </c>
      <c r="W166" s="100" t="s">
        <v>19</v>
      </c>
      <c r="X166" s="100" t="s">
        <v>20</v>
      </c>
      <c r="Y166" s="100" t="s">
        <v>19</v>
      </c>
      <c r="Z166" s="100" t="s">
        <v>20</v>
      </c>
      <c r="AA166" s="52"/>
      <c r="AB166" s="52"/>
      <c r="AC166" s="102"/>
      <c r="AD166" s="100" t="s">
        <v>22</v>
      </c>
      <c r="AE166" s="100" t="s">
        <v>23</v>
      </c>
      <c r="AF166" s="100" t="s">
        <v>24</v>
      </c>
      <c r="AG166" s="93"/>
      <c r="AH166" s="103" t="s">
        <v>25</v>
      </c>
      <c r="AI166" s="103" t="s">
        <v>26</v>
      </c>
      <c r="AJ166" s="103" t="s">
        <v>27</v>
      </c>
      <c r="AK166" s="93"/>
      <c r="AL166" s="103" t="s">
        <v>25</v>
      </c>
      <c r="AM166" s="103" t="s">
        <v>26</v>
      </c>
      <c r="AN166" s="103" t="s">
        <v>28</v>
      </c>
    </row>
    <row r="167" spans="1:40" s="93" customFormat="1" ht="50.1" customHeight="1" x14ac:dyDescent="0.25">
      <c r="A167" s="110">
        <v>1</v>
      </c>
      <c r="B167" s="139"/>
      <c r="C167" s="140" t="s">
        <v>341</v>
      </c>
      <c r="D167" s="140" t="s">
        <v>2803</v>
      </c>
      <c r="E167" s="141" t="s">
        <v>2804</v>
      </c>
      <c r="F167" s="142" t="str">
        <f>DATEDIF(R167,S167,"y") + DATEDIF(V167,W167,"y") + DATEDIF(X167,Y167,"y") + SUM(AH167) &amp; " años " &amp; DATEDIF(R167,S167,"ym") + DATEDIF(V167,W167,"ym") + DATEDIF(X167,Y167,"ym") + SUM(AI167) - SUM(AM167) &amp; " meses " &amp; DATEDIF(R167,S167,"md") + DATEDIF(V167,W167,"md") + DATEDIF(X167,Y167,"md") - SUM(AN167) &amp; " días"</f>
        <v>35 años 9 meses 22 días</v>
      </c>
      <c r="G167" s="143">
        <v>1</v>
      </c>
      <c r="H167" s="110" t="str">
        <f t="shared" ref="H167" si="33">DATEDIF(T167,S167,"y") &amp; " años " &amp; DATEDIF(T167,S167,"ym") &amp; " meses " &amp; DATEDIF(T167,S167,"md") &amp; " días"</f>
        <v>52 años 0 meses 0 días</v>
      </c>
      <c r="I167" s="110" t="str">
        <f t="shared" ref="I167" si="34">DATEDIF(U167,S167,"y") &amp; " años " &amp; DATEDIF(U167,S167,"ym") &amp; " meses " &amp; DATEDIF(U167,S167,"md") &amp; " días"</f>
        <v>9 años 5 meses 5 días</v>
      </c>
      <c r="J167" s="195"/>
      <c r="K167" s="196"/>
      <c r="L167" s="197"/>
      <c r="M167" s="144">
        <v>120000</v>
      </c>
      <c r="N167" s="115">
        <f t="shared" ref="N167:N194" si="35">M167*G167</f>
        <v>120000</v>
      </c>
      <c r="O167" s="134"/>
      <c r="P167" s="134"/>
      <c r="Q167" s="115" t="s">
        <v>336</v>
      </c>
      <c r="R167" s="145">
        <v>32426</v>
      </c>
      <c r="S167" s="146">
        <v>45505</v>
      </c>
      <c r="T167" s="145">
        <v>26512</v>
      </c>
      <c r="U167" s="145">
        <v>42062</v>
      </c>
      <c r="V167" s="116"/>
      <c r="W167" s="116"/>
      <c r="X167" s="116"/>
      <c r="Y167" s="116"/>
      <c r="Z167" s="52"/>
      <c r="AA167" s="52"/>
      <c r="AB167" s="52"/>
      <c r="AC167" s="117"/>
      <c r="AD167" s="118" t="s">
        <v>35</v>
      </c>
      <c r="AE167" s="119" t="s">
        <v>36</v>
      </c>
      <c r="AF167" s="135"/>
      <c r="AH167" s="118"/>
      <c r="AI167" s="118"/>
      <c r="AJ167" s="118"/>
      <c r="AL167" s="118"/>
      <c r="AM167" s="118"/>
      <c r="AN167" s="118"/>
    </row>
    <row r="168" spans="1:40" s="93" customFormat="1" ht="50.1" customHeight="1" x14ac:dyDescent="0.25">
      <c r="A168" s="110">
        <v>2</v>
      </c>
      <c r="B168" s="139"/>
      <c r="C168" s="140" t="s">
        <v>341</v>
      </c>
      <c r="D168" s="140" t="s">
        <v>2805</v>
      </c>
      <c r="E168" s="141" t="s">
        <v>2806</v>
      </c>
      <c r="F168" s="142" t="str">
        <f>DATEDIF(R168,S168,"y") + DATEDIF(V168,W168,"y") + DATEDIF(X168,Y168,"y") + SUM(AH168) &amp; " años " &amp; DATEDIF(R168,S168,"ym") + DATEDIF(V168,W168,"ym") + DATEDIF(X168,Y168,"ym") + SUM(AI168) - SUM(AM168) &amp; " meses " &amp; DATEDIF(R168,S168,"md") + DATEDIF(V168,W168,"md") + DATEDIF(X168,Y168,"md") - SUM(AN168) &amp; " días"</f>
        <v>35 años 9 meses 22 días</v>
      </c>
      <c r="G168" s="143">
        <v>1</v>
      </c>
      <c r="H168" s="110" t="str">
        <f>DATEDIF(T168,S168,"y") &amp; " años " &amp; DATEDIF(T168,S168,"ym") &amp; " meses " &amp; DATEDIF(T168,S168,"md") &amp; " días"</f>
        <v>53 años 6 meses 21 días</v>
      </c>
      <c r="I168" s="110" t="str">
        <f>DATEDIF(U168,S168,"y") &amp; " años " &amp; DATEDIF(U168,S168,"ym") &amp; " meses " &amp; DATEDIF(U168,S168,"md") &amp; " días"</f>
        <v>1 años 5 meses 5 días</v>
      </c>
      <c r="J168" s="195"/>
      <c r="K168" s="196"/>
      <c r="L168" s="197"/>
      <c r="M168" s="144">
        <v>120000</v>
      </c>
      <c r="N168" s="115">
        <f t="shared" si="35"/>
        <v>120000</v>
      </c>
      <c r="O168" s="134"/>
      <c r="P168" s="134" t="s">
        <v>42</v>
      </c>
      <c r="Q168" s="115" t="s">
        <v>336</v>
      </c>
      <c r="R168" s="145">
        <v>32426</v>
      </c>
      <c r="S168" s="146">
        <v>45505</v>
      </c>
      <c r="T168" s="145">
        <v>25944</v>
      </c>
      <c r="U168" s="145">
        <v>44984</v>
      </c>
      <c r="V168" s="116"/>
      <c r="W168" s="116"/>
      <c r="X168" s="116"/>
      <c r="Y168" s="116"/>
      <c r="Z168" s="52"/>
      <c r="AA168" s="52"/>
      <c r="AB168" s="52"/>
      <c r="AC168" s="117"/>
      <c r="AD168" s="118" t="s">
        <v>134</v>
      </c>
      <c r="AE168" s="119" t="s">
        <v>36</v>
      </c>
      <c r="AF168" s="135" t="s">
        <v>37</v>
      </c>
      <c r="AH168" s="118"/>
      <c r="AI168" s="118"/>
      <c r="AJ168" s="118"/>
      <c r="AL168" s="118"/>
      <c r="AM168" s="118"/>
      <c r="AN168" s="118"/>
    </row>
    <row r="169" spans="1:40" s="93" customFormat="1" ht="50.1" customHeight="1" x14ac:dyDescent="0.25">
      <c r="A169" s="110">
        <v>3</v>
      </c>
      <c r="B169" s="139"/>
      <c r="C169" s="140" t="s">
        <v>346</v>
      </c>
      <c r="D169" s="140" t="s">
        <v>2807</v>
      </c>
      <c r="E169" s="141" t="s">
        <v>2808</v>
      </c>
      <c r="F169" s="142" t="str">
        <f t="shared" ref="F169" si="36">DATEDIF(R169,S169,"y") + DATEDIF(V169,W169,"y") + DATEDIF(X169,Y169,"y") + SUM(AH169) &amp; " años " &amp; DATEDIF(R169,S169,"ym") + DATEDIF(V169,W169,"ym") + DATEDIF(X169,Y169,"ym") + SUM(AI169) - SUM(AM169) &amp; " meses " &amp; DATEDIF(R169,S169,"md") + DATEDIF(V169,W169,"md") + DATEDIF(X169,Y169,"md") - SUM(AN169) &amp; " días"</f>
        <v>27 años 9 meses 10 días</v>
      </c>
      <c r="G169" s="143">
        <v>0.8</v>
      </c>
      <c r="H169" s="110" t="str">
        <f t="shared" ref="H169:H170" si="37">DATEDIF(T169,S169,"y") &amp; " años " &amp; DATEDIF(T169,S169,"ym") &amp; " meses " &amp; DATEDIF(T169,S169,"md") &amp; " días"</f>
        <v>55 años 1 meses 8 días</v>
      </c>
      <c r="I169" s="110" t="str">
        <f t="shared" ref="I169:I170" si="38">DATEDIF(U169,S169,"y") &amp; " años " &amp; DATEDIF(U169,S169,"ym") &amp; " meses " &amp; DATEDIF(U169,S169,"md") &amp; " días"</f>
        <v>9 años 0 meses 13 días</v>
      </c>
      <c r="J169" s="195"/>
      <c r="K169" s="196"/>
      <c r="L169" s="197"/>
      <c r="M169" s="144">
        <f>50275.71+25000</f>
        <v>75275.709999999992</v>
      </c>
      <c r="N169" s="115">
        <f>M169*G169</f>
        <v>60220.567999999999</v>
      </c>
      <c r="O169" s="134" t="s">
        <v>2412</v>
      </c>
      <c r="P169" s="134" t="s">
        <v>33</v>
      </c>
      <c r="Q169" s="115" t="s">
        <v>338</v>
      </c>
      <c r="R169" s="145">
        <v>36495</v>
      </c>
      <c r="S169" s="146">
        <v>45362</v>
      </c>
      <c r="T169" s="145">
        <v>25237</v>
      </c>
      <c r="U169" s="145">
        <v>42062</v>
      </c>
      <c r="V169" s="116">
        <v>35217</v>
      </c>
      <c r="W169" s="116">
        <v>36495</v>
      </c>
      <c r="X169" s="116"/>
      <c r="Y169" s="116"/>
      <c r="Z169" s="52"/>
      <c r="AA169" s="52"/>
      <c r="AB169" s="52"/>
      <c r="AC169" s="117"/>
      <c r="AD169" s="118" t="s">
        <v>134</v>
      </c>
      <c r="AE169" s="119" t="s">
        <v>36</v>
      </c>
      <c r="AF169" s="135" t="s">
        <v>37</v>
      </c>
      <c r="AH169" s="118"/>
      <c r="AI169" s="118"/>
      <c r="AJ169" s="118"/>
      <c r="AL169" s="118"/>
      <c r="AM169" s="118"/>
      <c r="AN169" s="118"/>
    </row>
    <row r="170" spans="1:40" s="93" customFormat="1" ht="50.1" customHeight="1" x14ac:dyDescent="0.25">
      <c r="A170" s="110">
        <v>4</v>
      </c>
      <c r="B170" s="139"/>
      <c r="C170" s="140" t="s">
        <v>39</v>
      </c>
      <c r="D170" s="140" t="s">
        <v>2809</v>
      </c>
      <c r="E170" s="141" t="s">
        <v>2810</v>
      </c>
      <c r="F170" s="142" t="str">
        <f t="shared" ref="F170" si="39">DATEDIF(R170,S170,"y") + DATEDIF(V170,W170,"y") + DATEDIF(X170,Y170,"y") + SUM(AH170) &amp; " años " &amp; DATEDIF(R170,S170,"ym") + DATEDIF(V170,W170,"ym") + DATEDIF(X170,Y170,"ym") + SUM(AI170) - SUM(AM170) &amp; " meses " &amp; DATEDIF(R170,S170,"md") + DATEDIF(V170,W170,"md") + DATEDIF(X170,Y170,"md") - SUM(AN170) &amp; " días"</f>
        <v>34 años 10 meses 0 días</v>
      </c>
      <c r="G170" s="143">
        <v>1</v>
      </c>
      <c r="H170" s="110" t="str">
        <f t="shared" si="37"/>
        <v>54 años 9 meses 7 días</v>
      </c>
      <c r="I170" s="110" t="str">
        <f t="shared" si="38"/>
        <v>8 años 5 meses 5 días</v>
      </c>
      <c r="J170" s="195"/>
      <c r="K170" s="196"/>
      <c r="L170" s="197"/>
      <c r="M170" s="144">
        <v>120000</v>
      </c>
      <c r="N170" s="115">
        <f t="shared" si="35"/>
        <v>120000</v>
      </c>
      <c r="O170" s="134"/>
      <c r="P170" s="134" t="s">
        <v>42</v>
      </c>
      <c r="Q170" s="115" t="s">
        <v>336</v>
      </c>
      <c r="R170" s="145">
        <v>32782</v>
      </c>
      <c r="S170" s="146">
        <v>45505</v>
      </c>
      <c r="T170" s="145">
        <v>25501</v>
      </c>
      <c r="U170" s="145">
        <v>42427</v>
      </c>
      <c r="V170" s="116"/>
      <c r="W170" s="116"/>
      <c r="X170" s="116"/>
      <c r="Y170" s="116"/>
      <c r="Z170" s="52"/>
      <c r="AA170" s="52"/>
      <c r="AB170" s="52"/>
      <c r="AC170" s="117"/>
      <c r="AD170" s="118" t="s">
        <v>134</v>
      </c>
      <c r="AE170" s="119" t="s">
        <v>36</v>
      </c>
      <c r="AF170" s="135" t="s">
        <v>37</v>
      </c>
      <c r="AH170" s="118"/>
      <c r="AI170" s="118"/>
      <c r="AJ170" s="118"/>
      <c r="AL170" s="118"/>
      <c r="AM170" s="118"/>
      <c r="AN170" s="118"/>
    </row>
    <row r="171" spans="1:40" s="93" customFormat="1" ht="50.1" customHeight="1" x14ac:dyDescent="0.25">
      <c r="A171" s="110">
        <v>5</v>
      </c>
      <c r="B171" s="139"/>
      <c r="C171" s="140" t="s">
        <v>39</v>
      </c>
      <c r="D171" s="140" t="s">
        <v>2811</v>
      </c>
      <c r="E171" s="141" t="s">
        <v>2812</v>
      </c>
      <c r="F171" s="142" t="str">
        <f>DATEDIF(R171,S171,"y") + DATEDIF(V171,W171,"y") + DATEDIF(X171,Y171,"y") + SUM(AH171) &amp; " años " &amp; DATEDIF(R171,S171,"ym") + DATEDIF(V171,W171,"ym") + DATEDIF(X171,Y171,"ym") + SUM(AI171) - SUM(AM171) &amp; " meses " &amp; DATEDIF(R171,S171,"md") + DATEDIF(V171,W171,"md") + DATEDIF(X171,Y171,"md") - SUM(AN171) &amp; " días"</f>
        <v>35 años 4 meses 0 días</v>
      </c>
      <c r="G171" s="143">
        <v>1</v>
      </c>
      <c r="H171" s="110" t="str">
        <f>DATEDIF(T171,S171,"y") &amp; " años " &amp; DATEDIF(T171,S171,"ym") &amp; " meses " &amp; DATEDIF(T171,S171,"md") &amp; " días"</f>
        <v>53 años 1 meses 4 días</v>
      </c>
      <c r="I171" s="110" t="str">
        <f>DATEDIF(U171,S171,"y") &amp; " años " &amp; DATEDIF(U171,S171,"ym") &amp; " meses " &amp; DATEDIF(U171,S171,"md") &amp; " días"</f>
        <v>5 años 5 meses 5 días</v>
      </c>
      <c r="J171" s="195"/>
      <c r="K171" s="196"/>
      <c r="L171" s="197"/>
      <c r="M171" s="144">
        <v>70000</v>
      </c>
      <c r="N171" s="115">
        <f t="shared" si="35"/>
        <v>70000</v>
      </c>
      <c r="O171" s="134"/>
      <c r="P171" s="134" t="s">
        <v>42</v>
      </c>
      <c r="Q171" s="115" t="s">
        <v>336</v>
      </c>
      <c r="R171" s="145">
        <v>32599</v>
      </c>
      <c r="S171" s="146">
        <v>45505</v>
      </c>
      <c r="T171" s="145">
        <v>26112</v>
      </c>
      <c r="U171" s="145">
        <v>43523</v>
      </c>
      <c r="V171" s="116"/>
      <c r="W171" s="116"/>
      <c r="X171" s="116"/>
      <c r="Y171" s="116"/>
      <c r="Z171" s="52"/>
      <c r="AA171" s="52"/>
      <c r="AB171" s="52"/>
      <c r="AC171" s="117"/>
      <c r="AD171" s="118" t="s">
        <v>268</v>
      </c>
      <c r="AE171" s="119" t="s">
        <v>36</v>
      </c>
      <c r="AF171" s="135" t="s">
        <v>37</v>
      </c>
      <c r="AH171" s="118"/>
      <c r="AI171" s="118"/>
      <c r="AJ171" s="118"/>
      <c r="AL171" s="118"/>
      <c r="AM171" s="118"/>
      <c r="AN171" s="118"/>
    </row>
    <row r="172" spans="1:40" s="93" customFormat="1" ht="50.1" customHeight="1" x14ac:dyDescent="0.25">
      <c r="A172" s="110">
        <v>6</v>
      </c>
      <c r="B172" s="139"/>
      <c r="C172" s="140" t="s">
        <v>39</v>
      </c>
      <c r="D172" s="140" t="s">
        <v>2813</v>
      </c>
      <c r="E172" s="141" t="s">
        <v>2814</v>
      </c>
      <c r="F172" s="142" t="str">
        <f t="shared" ref="F172" si="40">DATEDIF(R172,S172,"y") + DATEDIF(V172,W172,"y") + DATEDIF(X172,Y172,"y") + SUM(AH172) &amp; " años " &amp; DATEDIF(R172,S172,"ym") + DATEDIF(V172,W172,"ym") + DATEDIF(X172,Y172,"ym") + SUM(AI172) - SUM(AM172) &amp; " meses " &amp; DATEDIF(R172,S172,"md") + DATEDIF(V172,W172,"md") + DATEDIF(X172,Y172,"md") - SUM(AN172) &amp; " días"</f>
        <v>30 años 11 meses 0 días</v>
      </c>
      <c r="G172" s="143">
        <v>0.88</v>
      </c>
      <c r="H172" s="110" t="str">
        <f t="shared" ref="H172:H228" si="41">DATEDIF(T172,S172,"y") &amp; " años " &amp; DATEDIF(T172,S172,"ym") &amp; " meses " &amp; DATEDIF(T172,S172,"md") &amp; " días"</f>
        <v>48 años 7 meses 2 días</v>
      </c>
      <c r="I172" s="110" t="str">
        <f t="shared" ref="I172:I215" si="42">DATEDIF(U172,S172,"y") &amp; " años " &amp; DATEDIF(U172,S172,"ym") &amp; " meses " &amp; DATEDIF(U172,S172,"md") &amp; " días"</f>
        <v>5 años 5 meses 5 días</v>
      </c>
      <c r="J172" s="195"/>
      <c r="K172" s="196"/>
      <c r="L172" s="197"/>
      <c r="M172" s="144">
        <v>70000</v>
      </c>
      <c r="N172" s="115">
        <f t="shared" si="35"/>
        <v>61600</v>
      </c>
      <c r="O172" s="134"/>
      <c r="P172" s="134" t="s">
        <v>42</v>
      </c>
      <c r="Q172" s="115" t="s">
        <v>336</v>
      </c>
      <c r="R172" s="145">
        <v>34213</v>
      </c>
      <c r="S172" s="146">
        <v>45505</v>
      </c>
      <c r="T172" s="145">
        <v>27758</v>
      </c>
      <c r="U172" s="145">
        <v>43523</v>
      </c>
      <c r="V172" s="116"/>
      <c r="W172" s="116"/>
      <c r="X172" s="116"/>
      <c r="Y172" s="116"/>
      <c r="Z172" s="52"/>
      <c r="AA172" s="52"/>
      <c r="AB172" s="52"/>
      <c r="AC172" s="117"/>
      <c r="AD172" s="118" t="s">
        <v>35</v>
      </c>
      <c r="AE172" s="119" t="s">
        <v>36</v>
      </c>
      <c r="AF172" s="135" t="s">
        <v>37</v>
      </c>
      <c r="AH172" s="118"/>
      <c r="AI172" s="118"/>
      <c r="AJ172" s="118"/>
      <c r="AL172" s="118"/>
      <c r="AM172" s="118"/>
      <c r="AN172" s="118"/>
    </row>
    <row r="173" spans="1:40" s="93" customFormat="1" ht="50.1" customHeight="1" x14ac:dyDescent="0.25">
      <c r="A173" s="110">
        <v>7</v>
      </c>
      <c r="B173" s="139"/>
      <c r="C173" s="140" t="s">
        <v>49</v>
      </c>
      <c r="D173" s="140" t="s">
        <v>2815</v>
      </c>
      <c r="E173" s="141" t="s">
        <v>2816</v>
      </c>
      <c r="F173" s="142" t="str">
        <f t="shared" ref="F173:F228" si="43">DATEDIF(R173,S173,"y") + DATEDIF(V173,W173,"y") + DATEDIF(X173,Y173,"y") + SUM(AH173) &amp; " años " &amp; DATEDIF(R173,S173,"ym") + DATEDIF(V173,W173,"ym") + DATEDIF(X173,Y173,"ym") + SUM(AI173) - SUM(AM173) &amp; " meses " &amp; DATEDIF(R173,S173,"md") + DATEDIF(V173,W173,"md") + DATEDIF(X173,Y173,"md") - SUM(AN173) &amp; " días"</f>
        <v>35 años 4 meses 0 días</v>
      </c>
      <c r="G173" s="143">
        <v>1</v>
      </c>
      <c r="H173" s="110" t="str">
        <f t="shared" si="41"/>
        <v>52 años 2 meses 25 días</v>
      </c>
      <c r="I173" s="110" t="str">
        <f t="shared" si="42"/>
        <v>9 años 5 meses 5 días</v>
      </c>
      <c r="J173" s="195"/>
      <c r="K173" s="196"/>
      <c r="L173" s="197"/>
      <c r="M173" s="144">
        <v>70000</v>
      </c>
      <c r="N173" s="115">
        <f t="shared" si="35"/>
        <v>70000</v>
      </c>
      <c r="O173" s="134"/>
      <c r="P173" s="134" t="s">
        <v>42</v>
      </c>
      <c r="Q173" s="115" t="s">
        <v>336</v>
      </c>
      <c r="R173" s="145">
        <v>32599</v>
      </c>
      <c r="S173" s="146">
        <v>45505</v>
      </c>
      <c r="T173" s="145">
        <v>26426</v>
      </c>
      <c r="U173" s="145">
        <v>42062</v>
      </c>
      <c r="V173" s="116"/>
      <c r="W173" s="116"/>
      <c r="X173" s="116"/>
      <c r="Y173" s="116"/>
      <c r="Z173" s="52"/>
      <c r="AA173" s="52"/>
      <c r="AB173" s="52"/>
      <c r="AC173" s="117"/>
      <c r="AD173" s="118" t="s">
        <v>35</v>
      </c>
      <c r="AE173" s="119" t="s">
        <v>36</v>
      </c>
      <c r="AF173" s="135" t="s">
        <v>37</v>
      </c>
      <c r="AH173" s="118"/>
      <c r="AI173" s="118"/>
      <c r="AJ173" s="118"/>
      <c r="AL173" s="118"/>
      <c r="AM173" s="118"/>
      <c r="AN173" s="118"/>
    </row>
    <row r="174" spans="1:40" s="93" customFormat="1" ht="50.1" customHeight="1" x14ac:dyDescent="0.25">
      <c r="A174" s="110">
        <v>8</v>
      </c>
      <c r="B174" s="139"/>
      <c r="C174" s="140" t="s">
        <v>49</v>
      </c>
      <c r="D174" s="140" t="s">
        <v>2817</v>
      </c>
      <c r="E174" s="141" t="s">
        <v>2818</v>
      </c>
      <c r="F174" s="142" t="str">
        <f t="shared" si="43"/>
        <v>32 años 10 meses 17 días</v>
      </c>
      <c r="G174" s="143">
        <v>0.94</v>
      </c>
      <c r="H174" s="110" t="str">
        <f t="shared" si="41"/>
        <v>52 años 7 meses 7 días</v>
      </c>
      <c r="I174" s="110" t="str">
        <f t="shared" si="42"/>
        <v>4 años 5 meses 5 días</v>
      </c>
      <c r="J174" s="195"/>
      <c r="K174" s="196"/>
      <c r="L174" s="197"/>
      <c r="M174" s="144">
        <f>35615.52</f>
        <v>35615.519999999997</v>
      </c>
      <c r="N174" s="115">
        <f t="shared" si="35"/>
        <v>33478.588799999998</v>
      </c>
      <c r="O174" s="134"/>
      <c r="P174" s="134" t="s">
        <v>42</v>
      </c>
      <c r="Q174" s="115" t="s">
        <v>336</v>
      </c>
      <c r="R174" s="145">
        <v>33496</v>
      </c>
      <c r="S174" s="146">
        <v>45505</v>
      </c>
      <c r="T174" s="145">
        <v>26292</v>
      </c>
      <c r="U174" s="145">
        <v>43888</v>
      </c>
      <c r="V174" s="116"/>
      <c r="W174" s="116"/>
      <c r="X174" s="116"/>
      <c r="Y174" s="116"/>
      <c r="Z174" s="52"/>
      <c r="AA174" s="52"/>
      <c r="AB174" s="52"/>
      <c r="AC174" s="117"/>
      <c r="AD174" s="118" t="s">
        <v>293</v>
      </c>
      <c r="AE174" s="119" t="s">
        <v>36</v>
      </c>
      <c r="AF174" s="135" t="s">
        <v>37</v>
      </c>
      <c r="AH174" s="118"/>
      <c r="AI174" s="118"/>
      <c r="AJ174" s="118"/>
      <c r="AL174" s="118"/>
      <c r="AM174" s="118"/>
      <c r="AN174" s="118"/>
    </row>
    <row r="175" spans="1:40" s="93" customFormat="1" ht="50.1" customHeight="1" x14ac:dyDescent="0.25">
      <c r="A175" s="110">
        <v>9</v>
      </c>
      <c r="B175" s="139"/>
      <c r="C175" s="140" t="s">
        <v>49</v>
      </c>
      <c r="D175" s="140" t="s">
        <v>2819</v>
      </c>
      <c r="E175" s="141" t="s">
        <v>2820</v>
      </c>
      <c r="F175" s="142" t="str">
        <f t="shared" si="43"/>
        <v>32 años 10 meses 17 días</v>
      </c>
      <c r="G175" s="143">
        <v>0.94</v>
      </c>
      <c r="H175" s="110" t="str">
        <f t="shared" si="41"/>
        <v>49 años 7 meses 14 días</v>
      </c>
      <c r="I175" s="110" t="str">
        <f t="shared" si="42"/>
        <v>9 años 5 meses 5 días</v>
      </c>
      <c r="J175" s="195"/>
      <c r="K175" s="196"/>
      <c r="L175" s="197"/>
      <c r="M175" s="144">
        <f>39234.82</f>
        <v>39234.82</v>
      </c>
      <c r="N175" s="115">
        <f t="shared" si="35"/>
        <v>36880.730799999998</v>
      </c>
      <c r="O175" s="134"/>
      <c r="P175" s="134" t="s">
        <v>42</v>
      </c>
      <c r="Q175" s="115" t="s">
        <v>336</v>
      </c>
      <c r="R175" s="145">
        <v>33496</v>
      </c>
      <c r="S175" s="146">
        <v>45505</v>
      </c>
      <c r="T175" s="145">
        <v>27381</v>
      </c>
      <c r="U175" s="145">
        <v>42062</v>
      </c>
      <c r="V175" s="116"/>
      <c r="W175" s="116"/>
      <c r="X175" s="116"/>
      <c r="Y175" s="116"/>
      <c r="Z175" s="52"/>
      <c r="AA175" s="52"/>
      <c r="AB175" s="52"/>
      <c r="AC175" s="117"/>
      <c r="AD175" s="118" t="s">
        <v>268</v>
      </c>
      <c r="AE175" s="119" t="s">
        <v>36</v>
      </c>
      <c r="AF175" s="135" t="s">
        <v>37</v>
      </c>
      <c r="AH175" s="118"/>
      <c r="AI175" s="118"/>
      <c r="AJ175" s="118"/>
      <c r="AL175" s="118"/>
      <c r="AM175" s="118"/>
      <c r="AN175" s="118"/>
    </row>
    <row r="176" spans="1:40" s="93" customFormat="1" ht="50.1" customHeight="1" x14ac:dyDescent="0.25">
      <c r="A176" s="110">
        <v>10</v>
      </c>
      <c r="B176" s="139"/>
      <c r="C176" s="140" t="s">
        <v>49</v>
      </c>
      <c r="D176" s="140" t="s">
        <v>2821</v>
      </c>
      <c r="E176" s="141" t="s">
        <v>2822</v>
      </c>
      <c r="F176" s="142" t="str">
        <f t="shared" si="43"/>
        <v>31 años 6 meses 22 días</v>
      </c>
      <c r="G176" s="143">
        <v>0.91</v>
      </c>
      <c r="H176" s="110" t="str">
        <f t="shared" si="41"/>
        <v>58 años 8 meses 29 días</v>
      </c>
      <c r="I176" s="110" t="str">
        <f t="shared" si="42"/>
        <v>3 años 5 meses 5 días</v>
      </c>
      <c r="J176" s="195"/>
      <c r="K176" s="196"/>
      <c r="L176" s="197"/>
      <c r="M176" s="144">
        <f>35615.53</f>
        <v>35615.53</v>
      </c>
      <c r="N176" s="115">
        <f t="shared" si="35"/>
        <v>32410.132300000001</v>
      </c>
      <c r="O176" s="134"/>
      <c r="P176" s="134" t="s">
        <v>42</v>
      </c>
      <c r="Q176" s="115" t="s">
        <v>336</v>
      </c>
      <c r="R176" s="145">
        <v>38047</v>
      </c>
      <c r="S176" s="146">
        <v>45505</v>
      </c>
      <c r="T176" s="145">
        <v>24049</v>
      </c>
      <c r="U176" s="145">
        <v>44254</v>
      </c>
      <c r="V176" s="116">
        <v>32699</v>
      </c>
      <c r="W176" s="116">
        <v>36770</v>
      </c>
      <c r="X176" s="116"/>
      <c r="Y176" s="116"/>
      <c r="Z176" s="52"/>
      <c r="AA176" s="52"/>
      <c r="AB176" s="52"/>
      <c r="AC176" s="117"/>
      <c r="AD176" s="118" t="s">
        <v>134</v>
      </c>
      <c r="AE176" s="119" t="s">
        <v>36</v>
      </c>
      <c r="AF176" s="135" t="s">
        <v>37</v>
      </c>
      <c r="AH176" s="118"/>
      <c r="AI176" s="118"/>
      <c r="AJ176" s="118"/>
      <c r="AL176" s="118"/>
      <c r="AM176" s="118"/>
      <c r="AN176" s="118"/>
    </row>
    <row r="177" spans="1:40" s="93" customFormat="1" ht="50.1" customHeight="1" x14ac:dyDescent="0.25">
      <c r="A177" s="110">
        <v>11</v>
      </c>
      <c r="B177" s="139"/>
      <c r="C177" s="140" t="s">
        <v>49</v>
      </c>
      <c r="D177" s="140" t="s">
        <v>2823</v>
      </c>
      <c r="E177" s="141" t="s">
        <v>2824</v>
      </c>
      <c r="F177" s="142" t="str">
        <f t="shared" si="43"/>
        <v>32 años 11 meses 0 días</v>
      </c>
      <c r="G177" s="143">
        <v>0.94</v>
      </c>
      <c r="H177" s="110" t="str">
        <f t="shared" si="41"/>
        <v>52 años 0 meses 12 días</v>
      </c>
      <c r="I177" s="110" t="str">
        <f t="shared" si="42"/>
        <v>5 años 5 meses 5 días</v>
      </c>
      <c r="J177" s="195"/>
      <c r="K177" s="196"/>
      <c r="L177" s="197"/>
      <c r="M177" s="144">
        <f>39234.82+14000</f>
        <v>53234.82</v>
      </c>
      <c r="N177" s="115">
        <f t="shared" si="35"/>
        <v>50040.730799999998</v>
      </c>
      <c r="O177" s="134"/>
      <c r="P177" s="134" t="s">
        <v>42</v>
      </c>
      <c r="Q177" s="115" t="s">
        <v>336</v>
      </c>
      <c r="R177" s="145">
        <v>33482</v>
      </c>
      <c r="S177" s="146">
        <v>45505</v>
      </c>
      <c r="T177" s="145">
        <v>26500</v>
      </c>
      <c r="U177" s="145">
        <v>43523</v>
      </c>
      <c r="V177" s="116"/>
      <c r="W177" s="116"/>
      <c r="X177" s="116"/>
      <c r="Y177" s="116"/>
      <c r="Z177" s="52"/>
      <c r="AA177" s="52"/>
      <c r="AB177" s="52"/>
      <c r="AC177" s="117"/>
      <c r="AD177" s="118" t="s">
        <v>35</v>
      </c>
      <c r="AE177" s="119" t="s">
        <v>36</v>
      </c>
      <c r="AF177" s="135" t="s">
        <v>37</v>
      </c>
      <c r="AH177" s="118"/>
      <c r="AI177" s="118"/>
      <c r="AJ177" s="118"/>
      <c r="AL177" s="118"/>
      <c r="AM177" s="118"/>
      <c r="AN177" s="118"/>
    </row>
    <row r="178" spans="1:40" s="93" customFormat="1" ht="50.1" customHeight="1" x14ac:dyDescent="0.25">
      <c r="A178" s="110">
        <v>12</v>
      </c>
      <c r="B178" s="139"/>
      <c r="C178" s="140" t="s">
        <v>49</v>
      </c>
      <c r="D178" s="140" t="s">
        <v>2825</v>
      </c>
      <c r="E178" s="141" t="s">
        <v>2826</v>
      </c>
      <c r="F178" s="142" t="str">
        <f t="shared" si="43"/>
        <v>30 años 6 meses 0 días</v>
      </c>
      <c r="G178" s="143">
        <v>0.88</v>
      </c>
      <c r="H178" s="110" t="str">
        <f t="shared" si="41"/>
        <v>57 años 4 meses 24 días</v>
      </c>
      <c r="I178" s="110" t="str">
        <f t="shared" si="42"/>
        <v>9 años 5 meses 5 días</v>
      </c>
      <c r="J178" s="195"/>
      <c r="K178" s="196"/>
      <c r="L178" s="197"/>
      <c r="M178" s="144">
        <f>39234.82</f>
        <v>39234.82</v>
      </c>
      <c r="N178" s="115">
        <f t="shared" si="35"/>
        <v>34526.641600000003</v>
      </c>
      <c r="O178" s="134"/>
      <c r="P178" s="134" t="s">
        <v>42</v>
      </c>
      <c r="Q178" s="115" t="s">
        <v>336</v>
      </c>
      <c r="R178" s="145">
        <v>34366</v>
      </c>
      <c r="S178" s="146">
        <v>45505</v>
      </c>
      <c r="T178" s="145">
        <v>24539</v>
      </c>
      <c r="U178" s="145">
        <v>42062</v>
      </c>
      <c r="V178" s="116"/>
      <c r="W178" s="116"/>
      <c r="X178" s="116"/>
      <c r="Y178" s="116"/>
      <c r="Z178" s="52"/>
      <c r="AA178" s="52"/>
      <c r="AB178" s="52"/>
      <c r="AC178" s="117"/>
      <c r="AD178" s="118" t="s">
        <v>1032</v>
      </c>
      <c r="AE178" s="119" t="s">
        <v>36</v>
      </c>
      <c r="AF178" s="135" t="s">
        <v>37</v>
      </c>
      <c r="AH178" s="118"/>
      <c r="AI178" s="118"/>
      <c r="AJ178" s="118"/>
      <c r="AL178" s="118"/>
      <c r="AM178" s="118"/>
      <c r="AN178" s="118"/>
    </row>
    <row r="179" spans="1:40" s="93" customFormat="1" ht="50.1" customHeight="1" x14ac:dyDescent="0.25">
      <c r="A179" s="110">
        <v>13</v>
      </c>
      <c r="B179" s="139"/>
      <c r="C179" s="140" t="s">
        <v>49</v>
      </c>
      <c r="D179" s="140" t="s">
        <v>2827</v>
      </c>
      <c r="E179" s="141" t="s">
        <v>2828</v>
      </c>
      <c r="F179" s="142" t="str">
        <f t="shared" si="43"/>
        <v>33 años 4 meses 0 días</v>
      </c>
      <c r="G179" s="143">
        <v>0.94</v>
      </c>
      <c r="H179" s="110" t="str">
        <f t="shared" si="41"/>
        <v>50 años 4 meses 12 días</v>
      </c>
      <c r="I179" s="110" t="str">
        <f t="shared" si="42"/>
        <v>5 años 5 meses 5 días</v>
      </c>
      <c r="J179" s="195"/>
      <c r="K179" s="196"/>
      <c r="L179" s="197"/>
      <c r="M179" s="144">
        <f>39234.82</f>
        <v>39234.82</v>
      </c>
      <c r="N179" s="115">
        <f t="shared" si="35"/>
        <v>36880.730799999998</v>
      </c>
      <c r="O179" s="134"/>
      <c r="P179" s="134" t="s">
        <v>42</v>
      </c>
      <c r="Q179" s="115" t="s">
        <v>336</v>
      </c>
      <c r="R179" s="145">
        <v>33329</v>
      </c>
      <c r="S179" s="146">
        <v>45505</v>
      </c>
      <c r="T179" s="145">
        <v>27108</v>
      </c>
      <c r="U179" s="145">
        <v>43523</v>
      </c>
      <c r="V179" s="116"/>
      <c r="W179" s="116"/>
      <c r="X179" s="116"/>
      <c r="Y179" s="116"/>
      <c r="Z179" s="52"/>
      <c r="AA179" s="52"/>
      <c r="AB179" s="52"/>
      <c r="AC179" s="117"/>
      <c r="AD179" s="118" t="s">
        <v>134</v>
      </c>
      <c r="AE179" s="119" t="s">
        <v>36</v>
      </c>
      <c r="AF179" s="135" t="s">
        <v>37</v>
      </c>
      <c r="AH179" s="118"/>
      <c r="AI179" s="118"/>
      <c r="AJ179" s="118"/>
      <c r="AL179" s="118"/>
      <c r="AM179" s="118"/>
      <c r="AN179" s="118"/>
    </row>
    <row r="180" spans="1:40" s="93" customFormat="1" ht="50.1" customHeight="1" x14ac:dyDescent="0.25">
      <c r="A180" s="110">
        <v>14</v>
      </c>
      <c r="B180" s="139"/>
      <c r="C180" s="140" t="s">
        <v>49</v>
      </c>
      <c r="D180" s="140" t="s">
        <v>2829</v>
      </c>
      <c r="E180" s="141" t="s">
        <v>2830</v>
      </c>
      <c r="F180" s="142" t="str">
        <f t="shared" si="43"/>
        <v>30 años 11 meses 0 días</v>
      </c>
      <c r="G180" s="143">
        <v>0.88</v>
      </c>
      <c r="H180" s="110" t="str">
        <f t="shared" si="41"/>
        <v>47 años 6 meses 12 días</v>
      </c>
      <c r="I180" s="110" t="str">
        <f t="shared" si="42"/>
        <v>6 años 5 meses 0 días</v>
      </c>
      <c r="J180" s="195"/>
      <c r="K180" s="196"/>
      <c r="L180" s="197"/>
      <c r="M180" s="144">
        <v>120000</v>
      </c>
      <c r="N180" s="115">
        <f t="shared" si="35"/>
        <v>105600</v>
      </c>
      <c r="O180" s="134"/>
      <c r="P180" s="134" t="s">
        <v>42</v>
      </c>
      <c r="Q180" s="115" t="s">
        <v>336</v>
      </c>
      <c r="R180" s="145">
        <v>34213</v>
      </c>
      <c r="S180" s="146">
        <v>45505</v>
      </c>
      <c r="T180" s="145">
        <v>28145</v>
      </c>
      <c r="U180" s="145">
        <v>43160</v>
      </c>
      <c r="V180" s="116"/>
      <c r="W180" s="116"/>
      <c r="X180" s="116"/>
      <c r="Y180" s="116"/>
      <c r="Z180" s="52"/>
      <c r="AA180" s="52"/>
      <c r="AB180" s="52"/>
      <c r="AC180" s="117"/>
      <c r="AD180" s="118" t="s">
        <v>134</v>
      </c>
      <c r="AE180" s="119" t="s">
        <v>36</v>
      </c>
      <c r="AF180" s="135" t="s">
        <v>37</v>
      </c>
      <c r="AH180" s="118"/>
      <c r="AI180" s="118"/>
      <c r="AJ180" s="118"/>
      <c r="AL180" s="118"/>
      <c r="AM180" s="118"/>
      <c r="AN180" s="118"/>
    </row>
    <row r="181" spans="1:40" s="93" customFormat="1" ht="50.1" customHeight="1" x14ac:dyDescent="0.25">
      <c r="A181" s="110">
        <v>15</v>
      </c>
      <c r="B181" s="139"/>
      <c r="C181" s="140" t="s">
        <v>49</v>
      </c>
      <c r="D181" s="140" t="s">
        <v>2207</v>
      </c>
      <c r="E181" s="141" t="s">
        <v>2208</v>
      </c>
      <c r="F181" s="142" t="str">
        <f t="shared" si="43"/>
        <v>35 años 4 meses 0 días</v>
      </c>
      <c r="G181" s="143">
        <v>1</v>
      </c>
      <c r="H181" s="110" t="str">
        <f t="shared" si="41"/>
        <v>53 años 11 meses 6 días</v>
      </c>
      <c r="I181" s="110" t="str">
        <f t="shared" si="42"/>
        <v>9 años 5 meses 5 días</v>
      </c>
      <c r="J181" s="195"/>
      <c r="K181" s="196"/>
      <c r="L181" s="197"/>
      <c r="M181" s="144">
        <f>39234.82+14000</f>
        <v>53234.82</v>
      </c>
      <c r="N181" s="115">
        <f t="shared" si="35"/>
        <v>53234.82</v>
      </c>
      <c r="O181" s="134"/>
      <c r="P181" s="134" t="s">
        <v>42</v>
      </c>
      <c r="Q181" s="115" t="s">
        <v>336</v>
      </c>
      <c r="R181" s="145">
        <v>32599</v>
      </c>
      <c r="S181" s="146">
        <v>45505</v>
      </c>
      <c r="T181" s="145">
        <v>25806</v>
      </c>
      <c r="U181" s="145">
        <v>42062</v>
      </c>
      <c r="V181" s="116"/>
      <c r="W181" s="116"/>
      <c r="X181" s="116"/>
      <c r="Y181" s="116"/>
      <c r="Z181" s="52"/>
      <c r="AA181" s="52"/>
      <c r="AB181" s="52"/>
      <c r="AC181" s="117"/>
      <c r="AD181" s="118" t="s">
        <v>35</v>
      </c>
      <c r="AE181" s="119" t="s">
        <v>36</v>
      </c>
      <c r="AF181" s="135" t="s">
        <v>37</v>
      </c>
      <c r="AH181" s="118"/>
      <c r="AI181" s="118"/>
      <c r="AJ181" s="118"/>
      <c r="AL181" s="118"/>
      <c r="AM181" s="118"/>
      <c r="AN181" s="118"/>
    </row>
    <row r="182" spans="1:40" s="93" customFormat="1" ht="50.1" customHeight="1" x14ac:dyDescent="0.25">
      <c r="A182" s="110">
        <v>16</v>
      </c>
      <c r="B182" s="139"/>
      <c r="C182" s="140" t="s">
        <v>56</v>
      </c>
      <c r="D182" s="140" t="s">
        <v>2831</v>
      </c>
      <c r="E182" s="141" t="s">
        <v>2832</v>
      </c>
      <c r="F182" s="142" t="str">
        <f t="shared" si="43"/>
        <v>26 años 10 meses 0 días</v>
      </c>
      <c r="G182" s="143">
        <v>0.77500000000000002</v>
      </c>
      <c r="H182" s="110" t="str">
        <f t="shared" si="41"/>
        <v>54 años 4 meses 30 días</v>
      </c>
      <c r="I182" s="110" t="str">
        <f t="shared" si="42"/>
        <v>6 años 5 meses 0 días</v>
      </c>
      <c r="J182" s="195"/>
      <c r="K182" s="196"/>
      <c r="L182" s="197"/>
      <c r="M182" s="144">
        <f>35615.52</f>
        <v>35615.519999999997</v>
      </c>
      <c r="N182" s="115">
        <f t="shared" si="35"/>
        <v>27602.027999999998</v>
      </c>
      <c r="O182" s="134"/>
      <c r="P182" s="134" t="s">
        <v>42</v>
      </c>
      <c r="Q182" s="115" t="s">
        <v>336</v>
      </c>
      <c r="R182" s="145">
        <v>35704</v>
      </c>
      <c r="S182" s="146">
        <v>45505</v>
      </c>
      <c r="T182" s="145">
        <v>25629</v>
      </c>
      <c r="U182" s="145">
        <v>43160</v>
      </c>
      <c r="V182" s="116"/>
      <c r="W182" s="116"/>
      <c r="X182" s="116"/>
      <c r="Y182" s="116"/>
      <c r="Z182" s="52"/>
      <c r="AA182" s="52"/>
      <c r="AB182" s="52"/>
      <c r="AC182" s="117"/>
      <c r="AD182" s="118" t="s">
        <v>35</v>
      </c>
      <c r="AE182" s="119" t="s">
        <v>36</v>
      </c>
      <c r="AF182" s="135" t="s">
        <v>37</v>
      </c>
      <c r="AH182" s="118"/>
      <c r="AI182" s="118"/>
      <c r="AJ182" s="118"/>
      <c r="AL182" s="118"/>
      <c r="AM182" s="118"/>
      <c r="AN182" s="118"/>
    </row>
    <row r="183" spans="1:40" s="93" customFormat="1" ht="50.1" customHeight="1" x14ac:dyDescent="0.25">
      <c r="A183" s="110">
        <v>17</v>
      </c>
      <c r="B183" s="139"/>
      <c r="C183" s="140" t="s">
        <v>56</v>
      </c>
      <c r="D183" s="140" t="s">
        <v>2833</v>
      </c>
      <c r="E183" s="141" t="s">
        <v>2834</v>
      </c>
      <c r="F183" s="142" t="str">
        <f t="shared" si="43"/>
        <v>26 años 6 meses 0 días</v>
      </c>
      <c r="G183" s="143">
        <v>0.77500000000000002</v>
      </c>
      <c r="H183" s="110" t="str">
        <f t="shared" si="41"/>
        <v>46 años 4 meses 27 días</v>
      </c>
      <c r="I183" s="110" t="str">
        <f t="shared" si="42"/>
        <v>1 años 5 meses 5 días</v>
      </c>
      <c r="J183" s="195"/>
      <c r="K183" s="196"/>
      <c r="L183" s="197"/>
      <c r="M183" s="144">
        <f>34575.77</f>
        <v>34575.769999999997</v>
      </c>
      <c r="N183" s="115">
        <f t="shared" si="35"/>
        <v>26796.221749999997</v>
      </c>
      <c r="O183" s="134"/>
      <c r="P183" s="134" t="s">
        <v>42</v>
      </c>
      <c r="Q183" s="115" t="s">
        <v>336</v>
      </c>
      <c r="R183" s="145">
        <v>35827</v>
      </c>
      <c r="S183" s="146">
        <v>45505</v>
      </c>
      <c r="T183" s="145">
        <v>28554</v>
      </c>
      <c r="U183" s="145">
        <v>44984</v>
      </c>
      <c r="V183" s="116"/>
      <c r="W183" s="116"/>
      <c r="X183" s="116"/>
      <c r="Y183" s="116"/>
      <c r="Z183" s="52"/>
      <c r="AA183" s="52"/>
      <c r="AB183" s="52"/>
      <c r="AC183" s="117"/>
      <c r="AD183" s="118" t="s">
        <v>268</v>
      </c>
      <c r="AE183" s="119" t="s">
        <v>36</v>
      </c>
      <c r="AF183" s="135" t="s">
        <v>37</v>
      </c>
      <c r="AH183" s="118"/>
      <c r="AI183" s="118"/>
      <c r="AJ183" s="118"/>
      <c r="AL183" s="118"/>
      <c r="AM183" s="118"/>
      <c r="AN183" s="118"/>
    </row>
    <row r="184" spans="1:40" s="93" customFormat="1" ht="50.1" customHeight="1" x14ac:dyDescent="0.25">
      <c r="A184" s="110">
        <v>18</v>
      </c>
      <c r="B184" s="139"/>
      <c r="C184" s="140" t="s">
        <v>56</v>
      </c>
      <c r="D184" s="140" t="s">
        <v>2835</v>
      </c>
      <c r="E184" s="141" t="s">
        <v>2836</v>
      </c>
      <c r="F184" s="142" t="str">
        <f t="shared" si="43"/>
        <v>28 años 6 meses 0 días</v>
      </c>
      <c r="G184" s="143">
        <v>0.82499999999999996</v>
      </c>
      <c r="H184" s="110" t="str">
        <f t="shared" si="41"/>
        <v>48 años 4 meses 14 días</v>
      </c>
      <c r="I184" s="110" t="str">
        <f t="shared" si="42"/>
        <v>9 años 5 meses 5 días</v>
      </c>
      <c r="J184" s="195"/>
      <c r="K184" s="196"/>
      <c r="L184" s="197"/>
      <c r="M184" s="144">
        <f>35615.53</f>
        <v>35615.53</v>
      </c>
      <c r="N184" s="115">
        <f t="shared" si="35"/>
        <v>29382.812249999999</v>
      </c>
      <c r="O184" s="134"/>
      <c r="P184" s="134" t="s">
        <v>42</v>
      </c>
      <c r="Q184" s="115" t="s">
        <v>336</v>
      </c>
      <c r="R184" s="145">
        <v>35096</v>
      </c>
      <c r="S184" s="146">
        <v>45505</v>
      </c>
      <c r="T184" s="145">
        <v>27837</v>
      </c>
      <c r="U184" s="145">
        <v>42062</v>
      </c>
      <c r="V184" s="116"/>
      <c r="W184" s="116"/>
      <c r="X184" s="116"/>
      <c r="Y184" s="116"/>
      <c r="Z184" s="52"/>
      <c r="AA184" s="52"/>
      <c r="AB184" s="52"/>
      <c r="AC184" s="117"/>
      <c r="AD184" s="118" t="s">
        <v>293</v>
      </c>
      <c r="AE184" s="119" t="s">
        <v>36</v>
      </c>
      <c r="AF184" s="135" t="s">
        <v>37</v>
      </c>
      <c r="AH184" s="118"/>
      <c r="AI184" s="118"/>
      <c r="AJ184" s="118"/>
      <c r="AL184" s="118"/>
      <c r="AM184" s="118"/>
      <c r="AN184" s="118"/>
    </row>
    <row r="185" spans="1:40" s="93" customFormat="1" ht="50.1" customHeight="1" x14ac:dyDescent="0.25">
      <c r="A185" s="110">
        <v>19</v>
      </c>
      <c r="B185" s="139"/>
      <c r="C185" s="140" t="s">
        <v>56</v>
      </c>
      <c r="D185" s="140" t="s">
        <v>2837</v>
      </c>
      <c r="E185" s="141" t="s">
        <v>2838</v>
      </c>
      <c r="F185" s="142" t="str">
        <f t="shared" si="43"/>
        <v>19 años 11 meses 30 días</v>
      </c>
      <c r="G185" s="143">
        <v>0.6</v>
      </c>
      <c r="H185" s="110" t="str">
        <f t="shared" si="41"/>
        <v>41 años 3 meses 3 días</v>
      </c>
      <c r="I185" s="110" t="str">
        <f t="shared" si="42"/>
        <v>6 años 5 meses 0 días</v>
      </c>
      <c r="J185" s="195"/>
      <c r="K185" s="196"/>
      <c r="L185" s="197"/>
      <c r="M185" s="144">
        <f>35615.53</f>
        <v>35615.53</v>
      </c>
      <c r="N185" s="115">
        <f t="shared" si="35"/>
        <v>21369.317999999999</v>
      </c>
      <c r="O185" s="134"/>
      <c r="P185" s="134" t="s">
        <v>42</v>
      </c>
      <c r="Q185" s="115" t="s">
        <v>336</v>
      </c>
      <c r="R185" s="145">
        <v>39083</v>
      </c>
      <c r="S185" s="146">
        <v>45505</v>
      </c>
      <c r="T185" s="145">
        <v>30435</v>
      </c>
      <c r="U185" s="145">
        <v>43160</v>
      </c>
      <c r="V185" s="116">
        <v>38200</v>
      </c>
      <c r="W185" s="116">
        <v>39082</v>
      </c>
      <c r="X185" s="116"/>
      <c r="Y185" s="116"/>
      <c r="Z185" s="52"/>
      <c r="AA185" s="52"/>
      <c r="AB185" s="52"/>
      <c r="AC185" s="117"/>
      <c r="AD185" s="118" t="s">
        <v>1032</v>
      </c>
      <c r="AE185" s="119" t="s">
        <v>36</v>
      </c>
      <c r="AF185" s="135" t="s">
        <v>37</v>
      </c>
      <c r="AH185" s="118"/>
      <c r="AI185" s="118"/>
      <c r="AJ185" s="118"/>
      <c r="AL185" s="118"/>
      <c r="AM185" s="118"/>
      <c r="AN185" s="118"/>
    </row>
    <row r="186" spans="1:40" s="93" customFormat="1" ht="50.1" customHeight="1" x14ac:dyDescent="0.25">
      <c r="A186" s="110">
        <v>20</v>
      </c>
      <c r="B186" s="139"/>
      <c r="C186" s="140" t="s">
        <v>56</v>
      </c>
      <c r="D186" s="140" t="s">
        <v>2839</v>
      </c>
      <c r="E186" s="141" t="s">
        <v>2840</v>
      </c>
      <c r="F186" s="142" t="str">
        <f t="shared" si="43"/>
        <v>29 años 10 meses 0 días</v>
      </c>
      <c r="G186" s="143">
        <v>0.85</v>
      </c>
      <c r="H186" s="110" t="str">
        <f t="shared" si="41"/>
        <v>54 años 10 meses 5 días</v>
      </c>
      <c r="I186" s="110" t="str">
        <f t="shared" si="42"/>
        <v>4 años 5 meses 5 días</v>
      </c>
      <c r="J186" s="195"/>
      <c r="K186" s="196"/>
      <c r="L186" s="197"/>
      <c r="M186" s="144">
        <f>34575.78+8000</f>
        <v>42575.78</v>
      </c>
      <c r="N186" s="115">
        <f t="shared" si="35"/>
        <v>36189.413</v>
      </c>
      <c r="O186" s="134"/>
      <c r="P186" s="134" t="s">
        <v>42</v>
      </c>
      <c r="Q186" s="115" t="s">
        <v>336</v>
      </c>
      <c r="R186" s="145">
        <v>34608</v>
      </c>
      <c r="S186" s="146">
        <v>45505</v>
      </c>
      <c r="T186" s="145">
        <v>25473</v>
      </c>
      <c r="U186" s="145">
        <v>43888</v>
      </c>
      <c r="V186" s="116"/>
      <c r="W186" s="116"/>
      <c r="X186" s="116"/>
      <c r="Y186" s="116"/>
      <c r="Z186" s="52"/>
      <c r="AA186" s="52"/>
      <c r="AB186" s="52"/>
      <c r="AC186" s="117"/>
      <c r="AD186" s="118" t="s">
        <v>35</v>
      </c>
      <c r="AE186" s="119" t="s">
        <v>36</v>
      </c>
      <c r="AF186" s="135" t="s">
        <v>37</v>
      </c>
      <c r="AH186" s="118"/>
      <c r="AI186" s="118"/>
      <c r="AJ186" s="118"/>
      <c r="AL186" s="118"/>
      <c r="AM186" s="118"/>
      <c r="AN186" s="118"/>
    </row>
    <row r="187" spans="1:40" s="93" customFormat="1" ht="50.1" customHeight="1" x14ac:dyDescent="0.25">
      <c r="A187" s="110">
        <v>21</v>
      </c>
      <c r="B187" s="139"/>
      <c r="C187" s="140" t="s">
        <v>56</v>
      </c>
      <c r="D187" s="140" t="s">
        <v>2841</v>
      </c>
      <c r="E187" s="141" t="s">
        <v>2842</v>
      </c>
      <c r="F187" s="142" t="str">
        <f t="shared" si="43"/>
        <v>28 años 8 meses 16 días</v>
      </c>
      <c r="G187" s="143">
        <v>0.82499999999999996</v>
      </c>
      <c r="H187" s="110" t="str">
        <f t="shared" si="41"/>
        <v>48 años 6 meses 1 días</v>
      </c>
      <c r="I187" s="110" t="str">
        <f t="shared" si="42"/>
        <v>1 años 5 meses 5 días</v>
      </c>
      <c r="J187" s="195"/>
      <c r="K187" s="196"/>
      <c r="L187" s="197"/>
      <c r="M187" s="144">
        <f>34575.77+8000</f>
        <v>42575.77</v>
      </c>
      <c r="N187" s="115">
        <f t="shared" si="35"/>
        <v>35125.010249999992</v>
      </c>
      <c r="O187" s="134"/>
      <c r="P187" s="134" t="s">
        <v>42</v>
      </c>
      <c r="Q187" s="115" t="s">
        <v>336</v>
      </c>
      <c r="R187" s="145">
        <v>36479</v>
      </c>
      <c r="S187" s="146">
        <v>45505</v>
      </c>
      <c r="T187" s="145">
        <v>27790</v>
      </c>
      <c r="U187" s="145">
        <v>44984</v>
      </c>
      <c r="V187" s="116">
        <v>34516</v>
      </c>
      <c r="W187" s="116">
        <v>35976</v>
      </c>
      <c r="X187" s="116"/>
      <c r="Y187" s="116"/>
      <c r="Z187" s="52"/>
      <c r="AA187" s="52"/>
      <c r="AB187" s="52"/>
      <c r="AC187" s="117"/>
      <c r="AD187" s="118" t="s">
        <v>1032</v>
      </c>
      <c r="AE187" s="119" t="s">
        <v>36</v>
      </c>
      <c r="AF187" s="135" t="s">
        <v>37</v>
      </c>
      <c r="AH187" s="118">
        <v>1</v>
      </c>
      <c r="AI187" s="118">
        <v>1</v>
      </c>
      <c r="AJ187" s="118"/>
      <c r="AL187" s="118"/>
      <c r="AM187" s="118">
        <v>12</v>
      </c>
      <c r="AN187" s="118">
        <v>30</v>
      </c>
    </row>
    <row r="188" spans="1:40" s="93" customFormat="1" ht="50.1" customHeight="1" x14ac:dyDescent="0.25">
      <c r="A188" s="110">
        <v>22</v>
      </c>
      <c r="B188" s="139"/>
      <c r="C188" s="140" t="s">
        <v>56</v>
      </c>
      <c r="D188" s="140" t="s">
        <v>2843</v>
      </c>
      <c r="E188" s="141" t="s">
        <v>2844</v>
      </c>
      <c r="F188" s="142" t="str">
        <f t="shared" si="43"/>
        <v>28 años 6 meses 20 días</v>
      </c>
      <c r="G188" s="143">
        <v>0.82499999999999996</v>
      </c>
      <c r="H188" s="110" t="str">
        <f t="shared" si="41"/>
        <v>44 años 11 meses 15 días</v>
      </c>
      <c r="I188" s="110" t="str">
        <f t="shared" si="42"/>
        <v>6 años 5 meses 0 días</v>
      </c>
      <c r="J188" s="195"/>
      <c r="K188" s="196"/>
      <c r="L188" s="197"/>
      <c r="M188" s="144">
        <f>35615.53</f>
        <v>35615.53</v>
      </c>
      <c r="N188" s="115">
        <f t="shared" si="35"/>
        <v>29382.812249999999</v>
      </c>
      <c r="O188" s="134"/>
      <c r="P188" s="134" t="s">
        <v>42</v>
      </c>
      <c r="Q188" s="115" t="s">
        <v>336</v>
      </c>
      <c r="R188" s="145">
        <v>39783</v>
      </c>
      <c r="S188" s="146">
        <v>45505</v>
      </c>
      <c r="T188" s="145">
        <v>29084</v>
      </c>
      <c r="U188" s="145">
        <v>43160</v>
      </c>
      <c r="V188" s="116">
        <v>34973</v>
      </c>
      <c r="W188" s="116">
        <v>39681</v>
      </c>
      <c r="X188" s="116"/>
      <c r="Y188" s="116"/>
      <c r="Z188" s="52"/>
      <c r="AA188" s="52"/>
      <c r="AB188" s="52"/>
      <c r="AC188" s="117"/>
      <c r="AD188" s="118" t="s">
        <v>134</v>
      </c>
      <c r="AE188" s="119" t="s">
        <v>36</v>
      </c>
      <c r="AF188" s="135" t="s">
        <v>37</v>
      </c>
      <c r="AH188" s="118">
        <v>1</v>
      </c>
      <c r="AI188" s="118"/>
      <c r="AJ188" s="118"/>
      <c r="AL188" s="118"/>
      <c r="AM188" s="118">
        <v>12</v>
      </c>
      <c r="AN188" s="118"/>
    </row>
    <row r="189" spans="1:40" s="93" customFormat="1" ht="50.1" customHeight="1" x14ac:dyDescent="0.25">
      <c r="A189" s="110">
        <v>23</v>
      </c>
      <c r="B189" s="139"/>
      <c r="C189" s="140" t="s">
        <v>56</v>
      </c>
      <c r="D189" s="140" t="s">
        <v>2845</v>
      </c>
      <c r="E189" s="141" t="s">
        <v>2846</v>
      </c>
      <c r="F189" s="142" t="str">
        <f t="shared" si="43"/>
        <v>32 años 11 meses 0 días</v>
      </c>
      <c r="G189" s="143">
        <v>0.94</v>
      </c>
      <c r="H189" s="110" t="str">
        <f t="shared" si="41"/>
        <v>52 años 11 meses 24 días</v>
      </c>
      <c r="I189" s="110" t="str">
        <f t="shared" si="42"/>
        <v>6 años 5 meses 0 días</v>
      </c>
      <c r="J189" s="195"/>
      <c r="K189" s="196"/>
      <c r="L189" s="197"/>
      <c r="M189" s="144">
        <f>35615.52</f>
        <v>35615.519999999997</v>
      </c>
      <c r="N189" s="115">
        <f t="shared" si="35"/>
        <v>33478.588799999998</v>
      </c>
      <c r="O189" s="134"/>
      <c r="P189" s="134" t="s">
        <v>42</v>
      </c>
      <c r="Q189" s="115" t="s">
        <v>336</v>
      </c>
      <c r="R189" s="145">
        <v>34943</v>
      </c>
      <c r="S189" s="146">
        <v>45505</v>
      </c>
      <c r="T189" s="145">
        <v>26153</v>
      </c>
      <c r="U189" s="145">
        <v>43160</v>
      </c>
      <c r="V189" s="116">
        <v>33117</v>
      </c>
      <c r="W189" s="116">
        <v>34578</v>
      </c>
      <c r="X189" s="116"/>
      <c r="Y189" s="116"/>
      <c r="Z189" s="52"/>
      <c r="AA189" s="52"/>
      <c r="AB189" s="52"/>
      <c r="AC189" s="117"/>
      <c r="AD189" s="118" t="s">
        <v>35</v>
      </c>
      <c r="AE189" s="119" t="s">
        <v>36</v>
      </c>
      <c r="AF189" s="135" t="s">
        <v>37</v>
      </c>
      <c r="AH189" s="118"/>
      <c r="AI189" s="118"/>
      <c r="AJ189" s="118"/>
      <c r="AL189" s="118"/>
      <c r="AM189" s="118"/>
      <c r="AN189" s="118"/>
    </row>
    <row r="190" spans="1:40" s="93" customFormat="1" ht="50.1" customHeight="1" x14ac:dyDescent="0.25">
      <c r="A190" s="110">
        <v>24</v>
      </c>
      <c r="B190" s="139"/>
      <c r="C190" s="140" t="s">
        <v>56</v>
      </c>
      <c r="D190" s="140" t="s">
        <v>2847</v>
      </c>
      <c r="E190" s="141" t="s">
        <v>2848</v>
      </c>
      <c r="F190" s="142" t="str">
        <f t="shared" si="43"/>
        <v>25 años 9 meses 0 días</v>
      </c>
      <c r="G190" s="143">
        <v>0.75</v>
      </c>
      <c r="H190" s="110" t="str">
        <f t="shared" si="41"/>
        <v>43 años 11 meses 23 días</v>
      </c>
      <c r="I190" s="110" t="str">
        <f t="shared" si="42"/>
        <v>6 años 5 meses 0 días</v>
      </c>
      <c r="J190" s="195"/>
      <c r="K190" s="196"/>
      <c r="L190" s="197"/>
      <c r="M190" s="144">
        <f>35615.52+12000</f>
        <v>47615.519999999997</v>
      </c>
      <c r="N190" s="115">
        <f t="shared" si="35"/>
        <v>35711.64</v>
      </c>
      <c r="O190" s="134"/>
      <c r="P190" s="134" t="s">
        <v>42</v>
      </c>
      <c r="Q190" s="115" t="s">
        <v>336</v>
      </c>
      <c r="R190" s="145">
        <v>36100</v>
      </c>
      <c r="S190" s="146">
        <v>45505</v>
      </c>
      <c r="T190" s="145">
        <v>29442</v>
      </c>
      <c r="U190" s="145">
        <v>43160</v>
      </c>
      <c r="V190" s="116"/>
      <c r="W190" s="116"/>
      <c r="X190" s="116"/>
      <c r="Y190" s="116"/>
      <c r="Z190" s="52"/>
      <c r="AA190" s="52"/>
      <c r="AB190" s="52"/>
      <c r="AC190" s="117"/>
      <c r="AD190" s="118" t="s">
        <v>134</v>
      </c>
      <c r="AE190" s="119" t="s">
        <v>36</v>
      </c>
      <c r="AF190" s="135" t="s">
        <v>37</v>
      </c>
      <c r="AH190" s="118"/>
      <c r="AI190" s="118"/>
      <c r="AJ190" s="118"/>
      <c r="AL190" s="118"/>
      <c r="AM190" s="118"/>
      <c r="AN190" s="118"/>
    </row>
    <row r="191" spans="1:40" s="93" customFormat="1" ht="50.1" customHeight="1" x14ac:dyDescent="0.25">
      <c r="A191" s="110">
        <v>25</v>
      </c>
      <c r="B191" s="139"/>
      <c r="C191" s="140" t="s">
        <v>56</v>
      </c>
      <c r="D191" s="140" t="s">
        <v>2849</v>
      </c>
      <c r="E191" s="141" t="s">
        <v>2850</v>
      </c>
      <c r="F191" s="142" t="str">
        <f t="shared" si="43"/>
        <v>30 años 5 meses 11 días</v>
      </c>
      <c r="G191" s="143">
        <v>0.85</v>
      </c>
      <c r="H191" s="110" t="str">
        <f t="shared" si="41"/>
        <v>63 años 6 meses 14 días</v>
      </c>
      <c r="I191" s="110" t="str">
        <f t="shared" si="42"/>
        <v>9 años 5 meses 5 días</v>
      </c>
      <c r="J191" s="195"/>
      <c r="K191" s="196"/>
      <c r="L191" s="197"/>
      <c r="M191" s="144">
        <f>35615.53</f>
        <v>35615.53</v>
      </c>
      <c r="N191" s="115">
        <f t="shared" si="35"/>
        <v>30273.200499999999</v>
      </c>
      <c r="O191" s="134"/>
      <c r="P191" s="134" t="s">
        <v>42</v>
      </c>
      <c r="Q191" s="115" t="s">
        <v>336</v>
      </c>
      <c r="R191" s="145">
        <v>35353</v>
      </c>
      <c r="S191" s="146">
        <v>45505</v>
      </c>
      <c r="T191" s="145">
        <v>22299</v>
      </c>
      <c r="U191" s="145">
        <v>42062</v>
      </c>
      <c r="V191" s="116">
        <v>34182</v>
      </c>
      <c r="W191" s="116">
        <v>35149</v>
      </c>
      <c r="X191" s="116"/>
      <c r="Y191" s="116"/>
      <c r="Z191" s="52"/>
      <c r="AA191" s="52"/>
      <c r="AB191" s="52"/>
      <c r="AC191" s="117"/>
      <c r="AD191" s="118" t="s">
        <v>1032</v>
      </c>
      <c r="AE191" s="119" t="s">
        <v>36</v>
      </c>
      <c r="AF191" s="135" t="s">
        <v>37</v>
      </c>
      <c r="AH191" s="118">
        <v>1</v>
      </c>
      <c r="AI191" s="118">
        <v>1</v>
      </c>
      <c r="AJ191" s="118"/>
      <c r="AL191" s="118"/>
      <c r="AM191" s="118">
        <v>12</v>
      </c>
      <c r="AN191" s="118">
        <v>30</v>
      </c>
    </row>
    <row r="192" spans="1:40" s="93" customFormat="1" ht="50.1" customHeight="1" x14ac:dyDescent="0.25">
      <c r="A192" s="110">
        <v>26</v>
      </c>
      <c r="B192" s="139"/>
      <c r="C192" s="140" t="s">
        <v>56</v>
      </c>
      <c r="D192" s="140" t="s">
        <v>2851</v>
      </c>
      <c r="E192" s="141" t="s">
        <v>2852</v>
      </c>
      <c r="F192" s="142" t="str">
        <f t="shared" si="43"/>
        <v>21 años 7 meses 7 días</v>
      </c>
      <c r="G192" s="143">
        <v>0.65</v>
      </c>
      <c r="H192" s="110" t="str">
        <f t="shared" si="41"/>
        <v>43 años 10 meses 20 días</v>
      </c>
      <c r="I192" s="110" t="str">
        <f t="shared" si="42"/>
        <v>4 años 5 meses 5 días</v>
      </c>
      <c r="J192" s="195"/>
      <c r="K192" s="196"/>
      <c r="L192" s="197"/>
      <c r="M192" s="144">
        <f>34575.77+8000</f>
        <v>42575.77</v>
      </c>
      <c r="N192" s="115">
        <f t="shared" si="35"/>
        <v>27674.250499999998</v>
      </c>
      <c r="O192" s="134"/>
      <c r="P192" s="134" t="s">
        <v>42</v>
      </c>
      <c r="Q192" s="115" t="s">
        <v>336</v>
      </c>
      <c r="R192" s="145">
        <v>37615</v>
      </c>
      <c r="S192" s="146">
        <v>45505</v>
      </c>
      <c r="T192" s="145">
        <v>29476</v>
      </c>
      <c r="U192" s="145">
        <v>43888</v>
      </c>
      <c r="V192" s="116"/>
      <c r="W192" s="116"/>
      <c r="X192" s="116"/>
      <c r="Y192" s="116"/>
      <c r="Z192" s="52"/>
      <c r="AA192" s="52"/>
      <c r="AB192" s="52"/>
      <c r="AC192" s="117"/>
      <c r="AD192" s="118" t="s">
        <v>2853</v>
      </c>
      <c r="AE192" s="119" t="s">
        <v>36</v>
      </c>
      <c r="AF192" s="135" t="s">
        <v>37</v>
      </c>
      <c r="AH192" s="118"/>
      <c r="AI192" s="118"/>
      <c r="AJ192" s="118"/>
      <c r="AL192" s="118"/>
      <c r="AM192" s="118"/>
      <c r="AN192" s="118"/>
    </row>
    <row r="193" spans="1:40" s="93" customFormat="1" ht="50.1" customHeight="1" x14ac:dyDescent="0.25">
      <c r="A193" s="110">
        <v>27</v>
      </c>
      <c r="B193" s="139"/>
      <c r="C193" s="140" t="s">
        <v>56</v>
      </c>
      <c r="D193" s="140" t="s">
        <v>2854</v>
      </c>
      <c r="E193" s="141" t="s">
        <v>2855</v>
      </c>
      <c r="F193" s="142" t="str">
        <f t="shared" si="43"/>
        <v>27 años 11 meses 10 días</v>
      </c>
      <c r="G193" s="143">
        <v>0.8</v>
      </c>
      <c r="H193" s="110" t="str">
        <f t="shared" si="41"/>
        <v>47 años 9 meses 17 días</v>
      </c>
      <c r="I193" s="110" t="str">
        <f t="shared" si="42"/>
        <v>2 años 5 meses 5 días</v>
      </c>
      <c r="J193" s="195"/>
      <c r="K193" s="196"/>
      <c r="L193" s="197"/>
      <c r="M193" s="144">
        <f>34575.78</f>
        <v>34575.78</v>
      </c>
      <c r="N193" s="115">
        <f t="shared" si="35"/>
        <v>27660.624</v>
      </c>
      <c r="O193" s="134"/>
      <c r="P193" s="134"/>
      <c r="Q193" s="115" t="s">
        <v>336</v>
      </c>
      <c r="R193" s="145">
        <v>36923</v>
      </c>
      <c r="S193" s="146">
        <v>45505</v>
      </c>
      <c r="T193" s="145">
        <v>28048</v>
      </c>
      <c r="U193" s="145">
        <v>44619</v>
      </c>
      <c r="V193" s="116">
        <v>34608</v>
      </c>
      <c r="W193" s="116">
        <v>35674</v>
      </c>
      <c r="X193" s="116">
        <v>35674</v>
      </c>
      <c r="Y193" s="116">
        <v>36230</v>
      </c>
      <c r="Z193" s="52"/>
      <c r="AA193" s="52"/>
      <c r="AB193" s="52"/>
      <c r="AC193" s="117"/>
      <c r="AD193" s="118" t="s">
        <v>2853</v>
      </c>
      <c r="AE193" s="119" t="s">
        <v>36</v>
      </c>
      <c r="AF193" s="135" t="s">
        <v>37</v>
      </c>
      <c r="AH193" s="118">
        <v>1</v>
      </c>
      <c r="AI193" s="118"/>
      <c r="AJ193" s="118"/>
      <c r="AL193" s="118"/>
      <c r="AM193" s="118">
        <v>12</v>
      </c>
      <c r="AN193" s="118"/>
    </row>
    <row r="194" spans="1:40" s="93" customFormat="1" ht="50.1" customHeight="1" x14ac:dyDescent="0.25">
      <c r="A194" s="110">
        <v>28</v>
      </c>
      <c r="B194" s="139"/>
      <c r="C194" s="140" t="s">
        <v>56</v>
      </c>
      <c r="D194" s="140" t="s">
        <v>2856</v>
      </c>
      <c r="E194" s="141" t="s">
        <v>2857</v>
      </c>
      <c r="F194" s="142" t="str">
        <f t="shared" si="43"/>
        <v>30 años 11 meses 0 días</v>
      </c>
      <c r="G194" s="143">
        <v>0.88</v>
      </c>
      <c r="H194" s="110" t="str">
        <f t="shared" si="41"/>
        <v>52 años 3 meses 30 días</v>
      </c>
      <c r="I194" s="110" t="str">
        <f t="shared" si="42"/>
        <v>9 años 5 meses 5 días</v>
      </c>
      <c r="J194" s="195"/>
      <c r="K194" s="196"/>
      <c r="L194" s="197"/>
      <c r="M194" s="144">
        <f>35615.52+12000</f>
        <v>47615.519999999997</v>
      </c>
      <c r="N194" s="115">
        <f t="shared" si="35"/>
        <v>41901.657599999999</v>
      </c>
      <c r="O194" s="134"/>
      <c r="P194" s="134" t="s">
        <v>42</v>
      </c>
      <c r="Q194" s="115" t="s">
        <v>336</v>
      </c>
      <c r="R194" s="145">
        <v>34213</v>
      </c>
      <c r="S194" s="146">
        <v>45505</v>
      </c>
      <c r="T194" s="145">
        <v>26391</v>
      </c>
      <c r="U194" s="145">
        <v>42062</v>
      </c>
      <c r="V194" s="116"/>
      <c r="W194" s="116"/>
      <c r="X194" s="116"/>
      <c r="Y194" s="116"/>
      <c r="Z194" s="52"/>
      <c r="AA194" s="52"/>
      <c r="AB194" s="52"/>
      <c r="AC194" s="117"/>
      <c r="AD194" s="118" t="s">
        <v>134</v>
      </c>
      <c r="AE194" s="119" t="s">
        <v>36</v>
      </c>
      <c r="AF194" s="135" t="s">
        <v>37</v>
      </c>
      <c r="AH194" s="118"/>
      <c r="AI194" s="118"/>
      <c r="AJ194" s="118"/>
      <c r="AL194" s="118"/>
      <c r="AM194" s="118"/>
      <c r="AN194" s="118"/>
    </row>
    <row r="195" spans="1:40" s="93" customFormat="1" ht="50.1" customHeight="1" x14ac:dyDescent="0.25">
      <c r="A195" s="110">
        <v>29</v>
      </c>
      <c r="B195" s="139"/>
      <c r="C195" s="140" t="s">
        <v>77</v>
      </c>
      <c r="D195" s="140" t="s">
        <v>2858</v>
      </c>
      <c r="E195" s="141" t="s">
        <v>2859</v>
      </c>
      <c r="F195" s="142" t="str">
        <f t="shared" si="43"/>
        <v>26 años 4 meses 2 días</v>
      </c>
      <c r="G195" s="143">
        <v>0.75</v>
      </c>
      <c r="H195" s="110" t="str">
        <f t="shared" si="41"/>
        <v>43 años 1 meses 23 días</v>
      </c>
      <c r="I195" s="110" t="str">
        <f t="shared" si="42"/>
        <v>4 años 3 meses 7 días</v>
      </c>
      <c r="J195" s="195"/>
      <c r="K195" s="196"/>
      <c r="L195" s="197"/>
      <c r="M195" s="144">
        <f>34575.77+8000</f>
        <v>42575.77</v>
      </c>
      <c r="N195" s="115">
        <f>M195*G195</f>
        <v>31931.827499999999</v>
      </c>
      <c r="O195" s="134" t="s">
        <v>2412</v>
      </c>
      <c r="P195" s="134" t="s">
        <v>33</v>
      </c>
      <c r="Q195" s="115" t="s">
        <v>338</v>
      </c>
      <c r="R195" s="145">
        <v>35827</v>
      </c>
      <c r="S195" s="146">
        <v>45446</v>
      </c>
      <c r="T195" s="145">
        <v>29687</v>
      </c>
      <c r="U195" s="145">
        <v>43888</v>
      </c>
      <c r="V195" s="116"/>
      <c r="W195" s="116"/>
      <c r="X195" s="116"/>
      <c r="Y195" s="116"/>
      <c r="Z195" s="52"/>
      <c r="AA195" s="52"/>
      <c r="AB195" s="52"/>
      <c r="AC195" s="117"/>
      <c r="AD195" s="118" t="s">
        <v>268</v>
      </c>
      <c r="AE195" s="119" t="s">
        <v>36</v>
      </c>
      <c r="AF195" s="135" t="s">
        <v>37</v>
      </c>
      <c r="AH195" s="118"/>
      <c r="AI195" s="118"/>
      <c r="AJ195" s="118"/>
      <c r="AL195" s="118"/>
      <c r="AM195" s="118"/>
      <c r="AN195" s="118"/>
    </row>
    <row r="196" spans="1:40" s="93" customFormat="1" ht="50.1" customHeight="1" x14ac:dyDescent="0.25">
      <c r="A196" s="110">
        <v>30</v>
      </c>
      <c r="B196" s="139"/>
      <c r="C196" s="140" t="s">
        <v>77</v>
      </c>
      <c r="D196" s="140" t="s">
        <v>2860</v>
      </c>
      <c r="E196" s="141" t="s">
        <v>2861</v>
      </c>
      <c r="F196" s="142" t="str">
        <f t="shared" si="43"/>
        <v>25 años 4 meses 12 días</v>
      </c>
      <c r="G196" s="143">
        <v>0.72499999999999998</v>
      </c>
      <c r="H196" s="110" t="str">
        <f t="shared" si="41"/>
        <v>44 años 5 meses 18 días</v>
      </c>
      <c r="I196" s="110" t="str">
        <f t="shared" si="42"/>
        <v>5 años 10 meses 12 días</v>
      </c>
      <c r="J196" s="195"/>
      <c r="K196" s="196"/>
      <c r="L196" s="197"/>
      <c r="M196" s="144">
        <v>60000</v>
      </c>
      <c r="N196" s="115">
        <f>M196*G196</f>
        <v>43500</v>
      </c>
      <c r="O196" s="134" t="s">
        <v>2412</v>
      </c>
      <c r="P196" s="134" t="s">
        <v>33</v>
      </c>
      <c r="Q196" s="115" t="s">
        <v>338</v>
      </c>
      <c r="R196" s="145">
        <v>36039</v>
      </c>
      <c r="S196" s="146">
        <v>45304</v>
      </c>
      <c r="T196" s="145">
        <v>29062</v>
      </c>
      <c r="U196" s="145">
        <v>43160</v>
      </c>
      <c r="V196" s="116"/>
      <c r="W196" s="116"/>
      <c r="X196" s="116"/>
      <c r="Y196" s="116"/>
      <c r="Z196" s="52"/>
      <c r="AA196" s="52"/>
      <c r="AB196" s="52"/>
      <c r="AC196" s="117"/>
      <c r="AD196" s="118" t="s">
        <v>35</v>
      </c>
      <c r="AE196" s="119" t="s">
        <v>36</v>
      </c>
      <c r="AF196" s="135" t="s">
        <v>37</v>
      </c>
      <c r="AH196" s="118"/>
      <c r="AI196" s="118"/>
      <c r="AJ196" s="118"/>
      <c r="AL196" s="118"/>
      <c r="AM196" s="118"/>
      <c r="AN196" s="118"/>
    </row>
    <row r="197" spans="1:40" s="93" customFormat="1" ht="50.1" customHeight="1" x14ac:dyDescent="0.25">
      <c r="A197" s="110">
        <v>31</v>
      </c>
      <c r="B197" s="139"/>
      <c r="C197" s="140" t="s">
        <v>87</v>
      </c>
      <c r="D197" s="140" t="s">
        <v>2862</v>
      </c>
      <c r="E197" s="141" t="s">
        <v>2863</v>
      </c>
      <c r="F197" s="142" t="str">
        <f t="shared" si="43"/>
        <v>26 años 6 meses 0 días</v>
      </c>
      <c r="G197" s="143">
        <v>0.77500000000000002</v>
      </c>
      <c r="H197" s="110" t="str">
        <f t="shared" si="41"/>
        <v>44 años 11 meses 30 días</v>
      </c>
      <c r="I197" s="110" t="str">
        <f t="shared" si="42"/>
        <v>7 años 5 meses 0 días</v>
      </c>
      <c r="J197" s="195"/>
      <c r="K197" s="196"/>
      <c r="L197" s="197"/>
      <c r="M197" s="144">
        <f>34575.77</f>
        <v>34575.769999999997</v>
      </c>
      <c r="N197" s="115">
        <f t="shared" ref="N197:N203" si="44">M197*G197</f>
        <v>26796.221749999997</v>
      </c>
      <c r="O197" s="134"/>
      <c r="P197" s="134" t="s">
        <v>42</v>
      </c>
      <c r="Q197" s="115" t="s">
        <v>336</v>
      </c>
      <c r="R197" s="145">
        <v>35827</v>
      </c>
      <c r="S197" s="146">
        <v>45505</v>
      </c>
      <c r="T197" s="145">
        <v>29069</v>
      </c>
      <c r="U197" s="145">
        <v>42795</v>
      </c>
      <c r="V197" s="116"/>
      <c r="W197" s="116"/>
      <c r="X197" s="116"/>
      <c r="Y197" s="116"/>
      <c r="Z197" s="52"/>
      <c r="AA197" s="52"/>
      <c r="AB197" s="52"/>
      <c r="AC197" s="117"/>
      <c r="AD197" s="118" t="s">
        <v>268</v>
      </c>
      <c r="AE197" s="119" t="s">
        <v>36</v>
      </c>
      <c r="AF197" s="135" t="s">
        <v>37</v>
      </c>
      <c r="AH197" s="118"/>
      <c r="AI197" s="118"/>
      <c r="AJ197" s="118"/>
      <c r="AL197" s="118"/>
      <c r="AM197" s="118"/>
      <c r="AN197" s="118"/>
    </row>
    <row r="198" spans="1:40" s="93" customFormat="1" ht="50.1" customHeight="1" x14ac:dyDescent="0.25">
      <c r="A198" s="110">
        <v>32</v>
      </c>
      <c r="B198" s="139"/>
      <c r="C198" s="140" t="s">
        <v>87</v>
      </c>
      <c r="D198" s="140" t="s">
        <v>2864</v>
      </c>
      <c r="E198" s="141" t="s">
        <v>2865</v>
      </c>
      <c r="F198" s="142" t="str">
        <f t="shared" si="43"/>
        <v>24 años 10 meses 17 días</v>
      </c>
      <c r="G198" s="143">
        <v>0.72499999999999998</v>
      </c>
      <c r="H198" s="110" t="str">
        <f t="shared" si="41"/>
        <v>45 años 0 meses 12 días</v>
      </c>
      <c r="I198" s="110" t="str">
        <f t="shared" si="42"/>
        <v>5 años 5 meses 5 días</v>
      </c>
      <c r="J198" s="195"/>
      <c r="K198" s="196"/>
      <c r="L198" s="197"/>
      <c r="M198" s="144">
        <f>34575.78</f>
        <v>34575.78</v>
      </c>
      <c r="N198" s="115">
        <f t="shared" si="44"/>
        <v>25067.440499999997</v>
      </c>
      <c r="O198" s="134"/>
      <c r="P198" s="134" t="s">
        <v>42</v>
      </c>
      <c r="Q198" s="115" t="s">
        <v>336</v>
      </c>
      <c r="R198" s="145">
        <v>36418</v>
      </c>
      <c r="S198" s="146">
        <v>45505</v>
      </c>
      <c r="T198" s="145">
        <v>29056</v>
      </c>
      <c r="U198" s="145">
        <v>43523</v>
      </c>
      <c r="V198" s="116"/>
      <c r="W198" s="116"/>
      <c r="X198" s="116"/>
      <c r="Y198" s="116"/>
      <c r="Z198" s="52"/>
      <c r="AA198" s="52"/>
      <c r="AB198" s="52"/>
      <c r="AC198" s="117"/>
      <c r="AD198" s="118" t="s">
        <v>134</v>
      </c>
      <c r="AE198" s="119" t="s">
        <v>36</v>
      </c>
      <c r="AF198" s="135" t="s">
        <v>37</v>
      </c>
      <c r="AH198" s="118"/>
      <c r="AI198" s="118"/>
      <c r="AJ198" s="118"/>
      <c r="AL198" s="118"/>
      <c r="AM198" s="118"/>
      <c r="AN198" s="118"/>
    </row>
    <row r="199" spans="1:40" s="93" customFormat="1" ht="50.1" customHeight="1" x14ac:dyDescent="0.25">
      <c r="A199" s="110">
        <v>33</v>
      </c>
      <c r="B199" s="139"/>
      <c r="C199" s="140" t="s">
        <v>87</v>
      </c>
      <c r="D199" s="140" t="s">
        <v>2866</v>
      </c>
      <c r="E199" s="141" t="s">
        <v>2867</v>
      </c>
      <c r="F199" s="142" t="str">
        <f t="shared" si="43"/>
        <v>29 años 9 meses 0 días</v>
      </c>
      <c r="G199" s="143">
        <v>0.85</v>
      </c>
      <c r="H199" s="110" t="str">
        <f t="shared" si="41"/>
        <v>51 años 2 meses 16 días</v>
      </c>
      <c r="I199" s="110" t="str">
        <f t="shared" si="42"/>
        <v>8 años 5 meses 5 días</v>
      </c>
      <c r="J199" s="195"/>
      <c r="K199" s="196"/>
      <c r="L199" s="197"/>
      <c r="M199" s="144">
        <f>34575.78</f>
        <v>34575.78</v>
      </c>
      <c r="N199" s="115">
        <f t="shared" si="44"/>
        <v>29389.412999999997</v>
      </c>
      <c r="O199" s="134"/>
      <c r="P199" s="134" t="s">
        <v>42</v>
      </c>
      <c r="Q199" s="115" t="s">
        <v>336</v>
      </c>
      <c r="R199" s="145">
        <v>36100</v>
      </c>
      <c r="S199" s="146">
        <v>45505</v>
      </c>
      <c r="T199" s="145">
        <v>26800</v>
      </c>
      <c r="U199" s="145">
        <v>42427</v>
      </c>
      <c r="V199" s="116">
        <v>34121</v>
      </c>
      <c r="W199" s="116">
        <v>35582</v>
      </c>
      <c r="X199" s="116"/>
      <c r="Y199" s="116"/>
      <c r="Z199" s="52"/>
      <c r="AA199" s="52"/>
      <c r="AB199" s="52"/>
      <c r="AC199" s="117"/>
      <c r="AD199" s="118" t="s">
        <v>134</v>
      </c>
      <c r="AE199" s="119" t="s">
        <v>36</v>
      </c>
      <c r="AF199" s="135" t="s">
        <v>37</v>
      </c>
      <c r="AH199" s="118"/>
      <c r="AI199" s="118"/>
      <c r="AJ199" s="118"/>
      <c r="AL199" s="118"/>
      <c r="AM199" s="118"/>
      <c r="AN199" s="118"/>
    </row>
    <row r="200" spans="1:40" s="93" customFormat="1" ht="50.1" customHeight="1" x14ac:dyDescent="0.25">
      <c r="A200" s="110">
        <v>34</v>
      </c>
      <c r="B200" s="139"/>
      <c r="C200" s="140" t="s">
        <v>87</v>
      </c>
      <c r="D200" s="140" t="s">
        <v>2868</v>
      </c>
      <c r="E200" s="141" t="s">
        <v>2869</v>
      </c>
      <c r="F200" s="142" t="str">
        <f t="shared" si="43"/>
        <v>27 años 1 meses 17 días</v>
      </c>
      <c r="G200" s="143">
        <v>0.77500000000000002</v>
      </c>
      <c r="H200" s="110" t="str">
        <f t="shared" si="41"/>
        <v>46 años 1 meses 17 días</v>
      </c>
      <c r="I200" s="110" t="str">
        <f t="shared" si="42"/>
        <v>10 años 5 meses 0 días</v>
      </c>
      <c r="J200" s="195"/>
      <c r="K200" s="196"/>
      <c r="L200" s="197"/>
      <c r="M200" s="144">
        <f>34575.77</f>
        <v>34575.769999999997</v>
      </c>
      <c r="N200" s="115">
        <f t="shared" si="44"/>
        <v>26796.221749999997</v>
      </c>
      <c r="O200" s="134"/>
      <c r="P200" s="134" t="s">
        <v>42</v>
      </c>
      <c r="Q200" s="115" t="s">
        <v>336</v>
      </c>
      <c r="R200" s="145">
        <v>35596</v>
      </c>
      <c r="S200" s="146">
        <v>45505</v>
      </c>
      <c r="T200" s="145">
        <v>28656</v>
      </c>
      <c r="U200" s="145">
        <v>41699</v>
      </c>
      <c r="V200" s="116"/>
      <c r="W200" s="116"/>
      <c r="X200" s="116"/>
      <c r="Y200" s="116"/>
      <c r="Z200" s="52"/>
      <c r="AA200" s="52"/>
      <c r="AB200" s="52"/>
      <c r="AC200" s="117"/>
      <c r="AD200" s="118" t="s">
        <v>35</v>
      </c>
      <c r="AE200" s="119" t="s">
        <v>36</v>
      </c>
      <c r="AF200" s="135" t="s">
        <v>37</v>
      </c>
      <c r="AH200" s="118"/>
      <c r="AI200" s="118"/>
      <c r="AJ200" s="118"/>
      <c r="AL200" s="118"/>
      <c r="AM200" s="118"/>
      <c r="AN200" s="118"/>
    </row>
    <row r="201" spans="1:40" s="93" customFormat="1" ht="50.1" customHeight="1" x14ac:dyDescent="0.25">
      <c r="A201" s="110">
        <v>35</v>
      </c>
      <c r="B201" s="139"/>
      <c r="C201" s="140" t="s">
        <v>87</v>
      </c>
      <c r="D201" s="140" t="s">
        <v>2870</v>
      </c>
      <c r="E201" s="141" t="s">
        <v>2871</v>
      </c>
      <c r="F201" s="142" t="str">
        <f t="shared" si="43"/>
        <v>25 años 5 meses 0 días</v>
      </c>
      <c r="G201" s="143">
        <v>0.72499999999999998</v>
      </c>
      <c r="H201" s="110" t="str">
        <f t="shared" si="41"/>
        <v>42 años 9 meses 24 días</v>
      </c>
      <c r="I201" s="110" t="str">
        <f t="shared" si="42"/>
        <v>8 años 5 meses 5 días</v>
      </c>
      <c r="J201" s="195"/>
      <c r="K201" s="196"/>
      <c r="L201" s="197"/>
      <c r="M201" s="144">
        <f>34575.78</f>
        <v>34575.78</v>
      </c>
      <c r="N201" s="115">
        <f t="shared" si="44"/>
        <v>25067.440499999997</v>
      </c>
      <c r="O201" s="134"/>
      <c r="P201" s="134" t="s">
        <v>42</v>
      </c>
      <c r="Q201" s="115" t="s">
        <v>336</v>
      </c>
      <c r="R201" s="145">
        <v>36220</v>
      </c>
      <c r="S201" s="146">
        <v>45505</v>
      </c>
      <c r="T201" s="145">
        <v>29867</v>
      </c>
      <c r="U201" s="145">
        <v>42427</v>
      </c>
      <c r="V201" s="116"/>
      <c r="W201" s="116"/>
      <c r="X201" s="116"/>
      <c r="Y201" s="116"/>
      <c r="Z201" s="52"/>
      <c r="AA201" s="52"/>
      <c r="AB201" s="52"/>
      <c r="AC201" s="117"/>
      <c r="AD201" s="118" t="s">
        <v>1032</v>
      </c>
      <c r="AE201" s="119" t="s">
        <v>36</v>
      </c>
      <c r="AF201" s="135" t="s">
        <v>37</v>
      </c>
      <c r="AH201" s="118"/>
      <c r="AI201" s="118"/>
      <c r="AJ201" s="118"/>
      <c r="AL201" s="118"/>
      <c r="AM201" s="118"/>
      <c r="AN201" s="118"/>
    </row>
    <row r="202" spans="1:40" s="93" customFormat="1" ht="50.1" customHeight="1" x14ac:dyDescent="0.25">
      <c r="A202" s="110">
        <v>36</v>
      </c>
      <c r="B202" s="139"/>
      <c r="C202" s="140" t="s">
        <v>87</v>
      </c>
      <c r="D202" s="140" t="s">
        <v>2872</v>
      </c>
      <c r="E202" s="141" t="s">
        <v>2873</v>
      </c>
      <c r="F202" s="142" t="str">
        <f t="shared" si="43"/>
        <v>22 años 2 meses 0 días</v>
      </c>
      <c r="G202" s="143">
        <v>0.65</v>
      </c>
      <c r="H202" s="110" t="str">
        <f t="shared" si="41"/>
        <v>43 años 10 meses 8 días</v>
      </c>
      <c r="I202" s="110" t="str">
        <f t="shared" si="42"/>
        <v>3 años 5 meses 5 días</v>
      </c>
      <c r="J202" s="195"/>
      <c r="K202" s="196"/>
      <c r="L202" s="197"/>
      <c r="M202" s="144">
        <f>32541.77</f>
        <v>32541.77</v>
      </c>
      <c r="N202" s="115">
        <f t="shared" si="44"/>
        <v>21152.1505</v>
      </c>
      <c r="O202" s="134"/>
      <c r="P202" s="134" t="s">
        <v>42</v>
      </c>
      <c r="Q202" s="115" t="s">
        <v>336</v>
      </c>
      <c r="R202" s="145">
        <v>39568</v>
      </c>
      <c r="S202" s="146">
        <v>45505</v>
      </c>
      <c r="T202" s="145">
        <v>29488</v>
      </c>
      <c r="U202" s="145">
        <v>44254</v>
      </c>
      <c r="V202" s="116">
        <v>37408</v>
      </c>
      <c r="W202" s="116">
        <v>39568</v>
      </c>
      <c r="X202" s="116"/>
      <c r="Y202" s="116"/>
      <c r="Z202" s="52"/>
      <c r="AA202" s="52"/>
      <c r="AB202" s="52"/>
      <c r="AC202" s="117"/>
      <c r="AD202" s="118" t="s">
        <v>35</v>
      </c>
      <c r="AE202" s="119" t="s">
        <v>36</v>
      </c>
      <c r="AF202" s="135" t="s">
        <v>37</v>
      </c>
      <c r="AH202" s="118">
        <v>1</v>
      </c>
      <c r="AI202" s="118">
        <v>1</v>
      </c>
      <c r="AJ202" s="118"/>
      <c r="AL202" s="118"/>
      <c r="AM202" s="118">
        <v>12</v>
      </c>
      <c r="AN202" s="118">
        <v>31</v>
      </c>
    </row>
    <row r="203" spans="1:40" s="93" customFormat="1" ht="50.1" customHeight="1" x14ac:dyDescent="0.25">
      <c r="A203" s="110">
        <v>37</v>
      </c>
      <c r="B203" s="139"/>
      <c r="C203" s="140" t="s">
        <v>87</v>
      </c>
      <c r="D203" s="140" t="s">
        <v>2874</v>
      </c>
      <c r="E203" s="141" t="s">
        <v>2875</v>
      </c>
      <c r="F203" s="142" t="str">
        <f t="shared" si="43"/>
        <v>26 años 11 meses 16 días</v>
      </c>
      <c r="G203" s="143">
        <v>1</v>
      </c>
      <c r="H203" s="110" t="str">
        <f t="shared" si="41"/>
        <v>56 años 9 meses 2 días</v>
      </c>
      <c r="I203" s="110" t="str">
        <f t="shared" si="42"/>
        <v>8 años 5 meses 5 días</v>
      </c>
      <c r="J203" s="195"/>
      <c r="K203" s="196"/>
      <c r="L203" s="197"/>
      <c r="M203" s="144">
        <f>34575.78</f>
        <v>34575.78</v>
      </c>
      <c r="N203" s="115">
        <f t="shared" si="44"/>
        <v>34575.78</v>
      </c>
      <c r="O203" s="134"/>
      <c r="P203" s="134"/>
      <c r="Q203" s="115" t="s">
        <v>337</v>
      </c>
      <c r="R203" s="145">
        <v>35658</v>
      </c>
      <c r="S203" s="146">
        <v>45505</v>
      </c>
      <c r="T203" s="145">
        <v>24775</v>
      </c>
      <c r="U203" s="145">
        <v>42427</v>
      </c>
      <c r="V203" s="116"/>
      <c r="W203" s="116"/>
      <c r="X203" s="116"/>
      <c r="Y203" s="116"/>
      <c r="Z203" s="52"/>
      <c r="AA203" s="52"/>
      <c r="AB203" s="52"/>
      <c r="AC203" s="117"/>
      <c r="AD203" s="118"/>
      <c r="AE203" s="119" t="s">
        <v>36</v>
      </c>
      <c r="AF203" s="135"/>
      <c r="AH203" s="118"/>
      <c r="AI203" s="118"/>
      <c r="AJ203" s="118"/>
      <c r="AL203" s="118"/>
      <c r="AM203" s="118"/>
      <c r="AN203" s="118"/>
    </row>
    <row r="204" spans="1:40" s="93" customFormat="1" ht="50.1" customHeight="1" x14ac:dyDescent="0.25">
      <c r="A204" s="110">
        <v>38</v>
      </c>
      <c r="B204" s="139"/>
      <c r="C204" s="140" t="s">
        <v>118</v>
      </c>
      <c r="D204" s="140" t="s">
        <v>2876</v>
      </c>
      <c r="E204" s="141" t="s">
        <v>2877</v>
      </c>
      <c r="F204" s="142" t="str">
        <f t="shared" si="43"/>
        <v>25 años 1 meses 1 días</v>
      </c>
      <c r="G204" s="143">
        <v>0.72499999999999998</v>
      </c>
      <c r="H204" s="110" t="str">
        <f t="shared" si="41"/>
        <v>62 años 8 meses 27 días</v>
      </c>
      <c r="I204" s="110" t="str">
        <f t="shared" si="42"/>
        <v>8 años 1 meses 20 días</v>
      </c>
      <c r="J204" s="195"/>
      <c r="K204" s="196"/>
      <c r="L204" s="197"/>
      <c r="M204" s="144">
        <f>34575.78</f>
        <v>34575.78</v>
      </c>
      <c r="N204" s="115">
        <f>M204*G204</f>
        <v>25067.440499999997</v>
      </c>
      <c r="O204" s="134" t="s">
        <v>2412</v>
      </c>
      <c r="P204" s="134" t="s">
        <v>33</v>
      </c>
      <c r="Q204" s="115" t="s">
        <v>338</v>
      </c>
      <c r="R204" s="145">
        <v>36234</v>
      </c>
      <c r="S204" s="146">
        <v>45398</v>
      </c>
      <c r="T204" s="145">
        <v>22482</v>
      </c>
      <c r="U204" s="145">
        <v>42427</v>
      </c>
      <c r="V204" s="116"/>
      <c r="W204" s="116"/>
      <c r="X204" s="116"/>
      <c r="Y204" s="116"/>
      <c r="Z204" s="52"/>
      <c r="AA204" s="52"/>
      <c r="AB204" s="52"/>
      <c r="AC204" s="117"/>
      <c r="AD204" s="118" t="s">
        <v>134</v>
      </c>
      <c r="AE204" s="119" t="s">
        <v>36</v>
      </c>
      <c r="AF204" s="135" t="s">
        <v>37</v>
      </c>
      <c r="AH204" s="118"/>
      <c r="AI204" s="118"/>
      <c r="AJ204" s="118"/>
      <c r="AL204" s="118"/>
      <c r="AM204" s="118"/>
      <c r="AN204" s="118"/>
    </row>
    <row r="205" spans="1:40" s="93" customFormat="1" ht="50.1" customHeight="1" x14ac:dyDescent="0.25">
      <c r="A205" s="110">
        <v>39</v>
      </c>
      <c r="B205" s="139"/>
      <c r="C205" s="140" t="s">
        <v>122</v>
      </c>
      <c r="D205" s="140" t="s">
        <v>2878</v>
      </c>
      <c r="E205" s="141" t="s">
        <v>2879</v>
      </c>
      <c r="F205" s="142" t="str">
        <f t="shared" si="43"/>
        <v>24 años 1 meses 0 días</v>
      </c>
      <c r="G205" s="143">
        <v>0.7</v>
      </c>
      <c r="H205" s="110" t="str">
        <f t="shared" si="41"/>
        <v>44 años 5 meses 26 días</v>
      </c>
      <c r="I205" s="110" t="str">
        <f t="shared" si="42"/>
        <v>8 años 5 meses 5 días</v>
      </c>
      <c r="J205" s="195"/>
      <c r="K205" s="196"/>
      <c r="L205" s="197"/>
      <c r="M205" s="144">
        <f>32541.77</f>
        <v>32541.77</v>
      </c>
      <c r="N205" s="115">
        <f t="shared" ref="N205:N211" si="45">M205*G205</f>
        <v>22779.238999999998</v>
      </c>
      <c r="O205" s="134"/>
      <c r="P205" s="134" t="s">
        <v>42</v>
      </c>
      <c r="Q205" s="115" t="s">
        <v>336</v>
      </c>
      <c r="R205" s="145">
        <v>36708</v>
      </c>
      <c r="S205" s="146">
        <v>45505</v>
      </c>
      <c r="T205" s="145">
        <v>29257</v>
      </c>
      <c r="U205" s="145">
        <v>42427</v>
      </c>
      <c r="V205" s="116"/>
      <c r="W205" s="116"/>
      <c r="X205" s="116"/>
      <c r="Y205" s="116"/>
      <c r="Z205" s="52"/>
      <c r="AA205" s="52"/>
      <c r="AB205" s="52"/>
      <c r="AC205" s="117"/>
      <c r="AD205" s="118" t="s">
        <v>2880</v>
      </c>
      <c r="AE205" s="119" t="s">
        <v>36</v>
      </c>
      <c r="AF205" s="135" t="s">
        <v>37</v>
      </c>
      <c r="AH205" s="118"/>
      <c r="AI205" s="118"/>
      <c r="AJ205" s="118"/>
      <c r="AL205" s="118"/>
      <c r="AM205" s="118"/>
      <c r="AN205" s="118"/>
    </row>
    <row r="206" spans="1:40" s="93" customFormat="1" ht="50.1" customHeight="1" x14ac:dyDescent="0.25">
      <c r="A206" s="110">
        <v>40</v>
      </c>
      <c r="B206" s="139"/>
      <c r="C206" s="140" t="s">
        <v>122</v>
      </c>
      <c r="D206" s="140" t="s">
        <v>2881</v>
      </c>
      <c r="E206" s="141" t="s">
        <v>2882</v>
      </c>
      <c r="F206" s="142" t="str">
        <f t="shared" si="43"/>
        <v>24 años 0 meses 0 días</v>
      </c>
      <c r="G206" s="143">
        <v>0.7</v>
      </c>
      <c r="H206" s="110" t="str">
        <f t="shared" si="41"/>
        <v>53 años 6 meses 17 días</v>
      </c>
      <c r="I206" s="110" t="str">
        <f t="shared" si="42"/>
        <v>9 años 5 meses 5 días</v>
      </c>
      <c r="J206" s="195"/>
      <c r="K206" s="196"/>
      <c r="L206" s="197"/>
      <c r="M206" s="144">
        <f>32541.78</f>
        <v>32541.78</v>
      </c>
      <c r="N206" s="115">
        <f t="shared" si="45"/>
        <v>22779.245999999999</v>
      </c>
      <c r="O206" s="134"/>
      <c r="P206" s="134" t="s">
        <v>42</v>
      </c>
      <c r="Q206" s="115" t="s">
        <v>336</v>
      </c>
      <c r="R206" s="145">
        <v>36739</v>
      </c>
      <c r="S206" s="146">
        <v>45505</v>
      </c>
      <c r="T206" s="145">
        <v>25948</v>
      </c>
      <c r="U206" s="145">
        <v>42062</v>
      </c>
      <c r="V206" s="116"/>
      <c r="W206" s="116"/>
      <c r="X206" s="116"/>
      <c r="Y206" s="116"/>
      <c r="Z206" s="52"/>
      <c r="AA206" s="52"/>
      <c r="AB206" s="52"/>
      <c r="AC206" s="117"/>
      <c r="AD206" s="118" t="s">
        <v>2880</v>
      </c>
      <c r="AE206" s="119" t="s">
        <v>36</v>
      </c>
      <c r="AF206" s="135" t="s">
        <v>37</v>
      </c>
      <c r="AH206" s="118"/>
      <c r="AI206" s="118"/>
      <c r="AJ206" s="118"/>
      <c r="AL206" s="118"/>
      <c r="AM206" s="118"/>
      <c r="AN206" s="118"/>
    </row>
    <row r="207" spans="1:40" s="93" customFormat="1" ht="50.1" customHeight="1" x14ac:dyDescent="0.25">
      <c r="A207" s="110">
        <v>41</v>
      </c>
      <c r="B207" s="139"/>
      <c r="C207" s="140" t="s">
        <v>122</v>
      </c>
      <c r="D207" s="140" t="s">
        <v>2883</v>
      </c>
      <c r="E207" s="141" t="s">
        <v>2884</v>
      </c>
      <c r="F207" s="142" t="str">
        <f t="shared" si="43"/>
        <v>24 años 10 meses 0 días</v>
      </c>
      <c r="G207" s="143">
        <v>0.72499999999999998</v>
      </c>
      <c r="H207" s="110" t="str">
        <f t="shared" si="41"/>
        <v>45 años 1 meses 20 días</v>
      </c>
      <c r="I207" s="110" t="str">
        <f t="shared" si="42"/>
        <v>9 años 5 meses 5 días</v>
      </c>
      <c r="J207" s="195"/>
      <c r="K207" s="196"/>
      <c r="L207" s="197"/>
      <c r="M207" s="144">
        <f>32541.78</f>
        <v>32541.78</v>
      </c>
      <c r="N207" s="115">
        <f t="shared" si="45"/>
        <v>23592.790499999999</v>
      </c>
      <c r="O207" s="134"/>
      <c r="P207" s="134" t="s">
        <v>42</v>
      </c>
      <c r="Q207" s="115" t="s">
        <v>336</v>
      </c>
      <c r="R207" s="145">
        <v>36434</v>
      </c>
      <c r="S207" s="146">
        <v>45505</v>
      </c>
      <c r="T207" s="145">
        <v>29018</v>
      </c>
      <c r="U207" s="145">
        <v>42062</v>
      </c>
      <c r="V207" s="116"/>
      <c r="W207" s="116"/>
      <c r="X207" s="116"/>
      <c r="Y207" s="116"/>
      <c r="Z207" s="52"/>
      <c r="AA207" s="52"/>
      <c r="AB207" s="52"/>
      <c r="AC207" s="117"/>
      <c r="AD207" s="118" t="s">
        <v>1032</v>
      </c>
      <c r="AE207" s="119" t="s">
        <v>36</v>
      </c>
      <c r="AF207" s="135" t="s">
        <v>37</v>
      </c>
      <c r="AH207" s="118"/>
      <c r="AI207" s="118"/>
      <c r="AJ207" s="118"/>
      <c r="AL207" s="118"/>
      <c r="AM207" s="118"/>
      <c r="AN207" s="118"/>
    </row>
    <row r="208" spans="1:40" s="93" customFormat="1" ht="50.1" customHeight="1" x14ac:dyDescent="0.25">
      <c r="A208" s="110">
        <v>42</v>
      </c>
      <c r="B208" s="139"/>
      <c r="C208" s="140" t="s">
        <v>122</v>
      </c>
      <c r="D208" s="140" t="s">
        <v>2885</v>
      </c>
      <c r="E208" s="141" t="s">
        <v>2886</v>
      </c>
      <c r="F208" s="142" t="str">
        <f t="shared" si="43"/>
        <v>25 años 2 meses 0 días</v>
      </c>
      <c r="G208" s="143">
        <v>0.72499999999999998</v>
      </c>
      <c r="H208" s="110" t="str">
        <f t="shared" si="41"/>
        <v>43 años 1 meses 3 días</v>
      </c>
      <c r="I208" s="110" t="str">
        <f t="shared" si="42"/>
        <v>8 años 5 meses 5 días</v>
      </c>
      <c r="J208" s="195"/>
      <c r="K208" s="196"/>
      <c r="L208" s="197"/>
      <c r="M208" s="144">
        <f>32541.78</f>
        <v>32541.78</v>
      </c>
      <c r="N208" s="115">
        <f t="shared" si="45"/>
        <v>23592.790499999999</v>
      </c>
      <c r="O208" s="134"/>
      <c r="P208" s="134" t="s">
        <v>42</v>
      </c>
      <c r="Q208" s="115" t="s">
        <v>336</v>
      </c>
      <c r="R208" s="145">
        <v>36312</v>
      </c>
      <c r="S208" s="146">
        <v>45505</v>
      </c>
      <c r="T208" s="145">
        <v>29766</v>
      </c>
      <c r="U208" s="145">
        <v>42427</v>
      </c>
      <c r="V208" s="116"/>
      <c r="W208" s="116"/>
      <c r="X208" s="116"/>
      <c r="Y208" s="116"/>
      <c r="Z208" s="52"/>
      <c r="AA208" s="52"/>
      <c r="AB208" s="52"/>
      <c r="AC208" s="117"/>
      <c r="AD208" s="118" t="s">
        <v>35</v>
      </c>
      <c r="AE208" s="119" t="s">
        <v>36</v>
      </c>
      <c r="AF208" s="135" t="s">
        <v>37</v>
      </c>
      <c r="AH208" s="118"/>
      <c r="AI208" s="118"/>
      <c r="AJ208" s="118"/>
      <c r="AL208" s="118"/>
      <c r="AM208" s="118"/>
      <c r="AN208" s="118"/>
    </row>
    <row r="209" spans="1:40" s="93" customFormat="1" ht="50.1" customHeight="1" x14ac:dyDescent="0.25">
      <c r="A209" s="110">
        <v>43</v>
      </c>
      <c r="B209" s="139"/>
      <c r="C209" s="140" t="s">
        <v>122</v>
      </c>
      <c r="D209" s="140" t="s">
        <v>2887</v>
      </c>
      <c r="E209" s="141" t="s">
        <v>2888</v>
      </c>
      <c r="F209" s="142" t="str">
        <f t="shared" si="43"/>
        <v>21 años 1 meses 23 días</v>
      </c>
      <c r="G209" s="143">
        <v>0.625</v>
      </c>
      <c r="H209" s="110" t="str">
        <f t="shared" si="41"/>
        <v>39 años 6 meses 18 días</v>
      </c>
      <c r="I209" s="110" t="str">
        <f t="shared" si="42"/>
        <v>3 años 5 meses 5 días</v>
      </c>
      <c r="J209" s="195"/>
      <c r="K209" s="196"/>
      <c r="L209" s="197"/>
      <c r="M209" s="144">
        <f>31510.28</f>
        <v>31510.28</v>
      </c>
      <c r="N209" s="115">
        <f t="shared" si="45"/>
        <v>19693.924999999999</v>
      </c>
      <c r="O209" s="134"/>
      <c r="P209" s="134"/>
      <c r="Q209" s="115" t="s">
        <v>336</v>
      </c>
      <c r="R209" s="145">
        <v>38322</v>
      </c>
      <c r="S209" s="146">
        <v>45505</v>
      </c>
      <c r="T209" s="145">
        <v>31061</v>
      </c>
      <c r="U209" s="145">
        <v>44254</v>
      </c>
      <c r="V209" s="116">
        <v>37712</v>
      </c>
      <c r="W209" s="116">
        <v>38254</v>
      </c>
      <c r="X209" s="116"/>
      <c r="Y209" s="116"/>
      <c r="Z209" s="52"/>
      <c r="AA209" s="52"/>
      <c r="AB209" s="52"/>
      <c r="AC209" s="117"/>
      <c r="AD209" s="118" t="s">
        <v>1032</v>
      </c>
      <c r="AE209" s="119" t="s">
        <v>36</v>
      </c>
      <c r="AF209" s="135"/>
      <c r="AH209" s="118">
        <v>1</v>
      </c>
      <c r="AI209" s="118"/>
      <c r="AJ209" s="118"/>
      <c r="AL209" s="118"/>
      <c r="AM209" s="118">
        <v>12</v>
      </c>
      <c r="AN209" s="118"/>
    </row>
    <row r="210" spans="1:40" s="93" customFormat="1" ht="50.1" customHeight="1" x14ac:dyDescent="0.25">
      <c r="A210" s="110">
        <v>44</v>
      </c>
      <c r="B210" s="139"/>
      <c r="C210" s="140" t="s">
        <v>122</v>
      </c>
      <c r="D210" s="140" t="s">
        <v>2889</v>
      </c>
      <c r="E210" s="141" t="s">
        <v>2890</v>
      </c>
      <c r="F210" s="142" t="str">
        <f t="shared" si="43"/>
        <v>24 años 10 meses 0 días</v>
      </c>
      <c r="G210" s="143">
        <v>0.72499999999999998</v>
      </c>
      <c r="H210" s="110" t="str">
        <f t="shared" si="41"/>
        <v>41 años 10 meses 18 días</v>
      </c>
      <c r="I210" s="110" t="str">
        <f t="shared" si="42"/>
        <v>5 años 5 meses 5 días</v>
      </c>
      <c r="J210" s="195"/>
      <c r="K210" s="196"/>
      <c r="L210" s="197"/>
      <c r="M210" s="144">
        <f>32541.78</f>
        <v>32541.78</v>
      </c>
      <c r="N210" s="115">
        <f t="shared" si="45"/>
        <v>23592.790499999999</v>
      </c>
      <c r="O210" s="134"/>
      <c r="P210" s="134"/>
      <c r="Q210" s="115" t="s">
        <v>336</v>
      </c>
      <c r="R210" s="145">
        <v>36434</v>
      </c>
      <c r="S210" s="146">
        <v>45505</v>
      </c>
      <c r="T210" s="145">
        <v>30208</v>
      </c>
      <c r="U210" s="145">
        <v>43523</v>
      </c>
      <c r="V210" s="116"/>
      <c r="W210" s="116"/>
      <c r="X210" s="116"/>
      <c r="Y210" s="116"/>
      <c r="Z210" s="52"/>
      <c r="AA210" s="52"/>
      <c r="AB210" s="52"/>
      <c r="AC210" s="117"/>
      <c r="AD210" s="118"/>
      <c r="AE210" s="119"/>
      <c r="AF210" s="135"/>
      <c r="AH210" s="118"/>
      <c r="AI210" s="118"/>
      <c r="AJ210" s="118"/>
      <c r="AL210" s="118"/>
      <c r="AM210" s="118"/>
      <c r="AN210" s="118"/>
    </row>
    <row r="211" spans="1:40" s="93" customFormat="1" ht="50.1" customHeight="1" x14ac:dyDescent="0.25">
      <c r="A211" s="110">
        <v>45</v>
      </c>
      <c r="B211" s="139"/>
      <c r="C211" s="140" t="s">
        <v>122</v>
      </c>
      <c r="D211" s="140" t="s">
        <v>2891</v>
      </c>
      <c r="E211" s="141" t="s">
        <v>2892</v>
      </c>
      <c r="F211" s="142" t="str">
        <f t="shared" si="43"/>
        <v>21 años 3 meses 29 días</v>
      </c>
      <c r="G211" s="143">
        <v>0.625</v>
      </c>
      <c r="H211" s="110" t="str">
        <f t="shared" si="41"/>
        <v>44 años 10 meses 12 días</v>
      </c>
      <c r="I211" s="110" t="str">
        <f t="shared" si="42"/>
        <v>1 años 5 meses 5 días</v>
      </c>
      <c r="J211" s="195"/>
      <c r="K211" s="196"/>
      <c r="L211" s="197"/>
      <c r="M211" s="144">
        <f>31510.27+8000</f>
        <v>39510.270000000004</v>
      </c>
      <c r="N211" s="115">
        <f t="shared" si="45"/>
        <v>24693.918750000004</v>
      </c>
      <c r="O211" s="134"/>
      <c r="P211" s="134" t="s">
        <v>42</v>
      </c>
      <c r="Q211" s="115" t="s">
        <v>336</v>
      </c>
      <c r="R211" s="145">
        <v>39387</v>
      </c>
      <c r="S211" s="146">
        <v>45505</v>
      </c>
      <c r="T211" s="145">
        <v>29118</v>
      </c>
      <c r="U211" s="145">
        <v>44984</v>
      </c>
      <c r="V211" s="116">
        <v>37681</v>
      </c>
      <c r="W211" s="116">
        <v>39355</v>
      </c>
      <c r="X211" s="116"/>
      <c r="Y211" s="116"/>
      <c r="Z211" s="52"/>
      <c r="AA211" s="52"/>
      <c r="AB211" s="52"/>
      <c r="AC211" s="117"/>
      <c r="AD211" s="118" t="s">
        <v>134</v>
      </c>
      <c r="AE211" s="119" t="s">
        <v>36</v>
      </c>
      <c r="AF211" s="135" t="s">
        <v>37</v>
      </c>
      <c r="AH211" s="118">
        <v>1</v>
      </c>
      <c r="AI211" s="118"/>
      <c r="AJ211" s="118"/>
      <c r="AL211" s="118"/>
      <c r="AM211" s="118">
        <v>12</v>
      </c>
      <c r="AN211" s="118"/>
    </row>
    <row r="212" spans="1:40" s="93" customFormat="1" ht="50.1" customHeight="1" x14ac:dyDescent="0.25">
      <c r="A212" s="110">
        <v>46</v>
      </c>
      <c r="B212" s="139"/>
      <c r="C212" s="140" t="s">
        <v>2071</v>
      </c>
      <c r="D212" s="140" t="s">
        <v>2893</v>
      </c>
      <c r="E212" s="141" t="s">
        <v>2894</v>
      </c>
      <c r="F212" s="142" t="str">
        <f t="shared" si="43"/>
        <v>22 años 3 meses 8 días</v>
      </c>
      <c r="G212" s="143">
        <v>0.65</v>
      </c>
      <c r="H212" s="110" t="str">
        <f t="shared" si="41"/>
        <v>40 años 4 meses 17 días</v>
      </c>
      <c r="I212" s="110" t="str">
        <f t="shared" si="42"/>
        <v>5 años 0 meses 10 días</v>
      </c>
      <c r="J212" s="195"/>
      <c r="K212" s="196"/>
      <c r="L212" s="197"/>
      <c r="M212" s="144">
        <f>32541.77</f>
        <v>32541.77</v>
      </c>
      <c r="N212" s="115">
        <f>M212*G212</f>
        <v>21152.1505</v>
      </c>
      <c r="O212" s="134" t="s">
        <v>2412</v>
      </c>
      <c r="P212" s="134" t="s">
        <v>33</v>
      </c>
      <c r="Q212" s="115" t="s">
        <v>338</v>
      </c>
      <c r="R212" s="145">
        <v>38138</v>
      </c>
      <c r="S212" s="146">
        <v>45359</v>
      </c>
      <c r="T212" s="145">
        <v>30609</v>
      </c>
      <c r="U212" s="145">
        <v>43523</v>
      </c>
      <c r="V212" s="116">
        <v>37196</v>
      </c>
      <c r="W212" s="116">
        <v>38110</v>
      </c>
      <c r="X212" s="116"/>
      <c r="Y212" s="116"/>
      <c r="Z212" s="52"/>
      <c r="AA212" s="52"/>
      <c r="AB212" s="52"/>
      <c r="AC212" s="117"/>
      <c r="AD212" s="118" t="s">
        <v>35</v>
      </c>
      <c r="AE212" s="119" t="s">
        <v>36</v>
      </c>
      <c r="AF212" s="135" t="s">
        <v>37</v>
      </c>
      <c r="AH212" s="118">
        <v>1</v>
      </c>
      <c r="AI212" s="118"/>
      <c r="AJ212" s="118"/>
      <c r="AL212" s="118"/>
      <c r="AM212" s="118">
        <v>12</v>
      </c>
      <c r="AN212" s="118"/>
    </row>
    <row r="213" spans="1:40" s="93" customFormat="1" ht="50.1" customHeight="1" x14ac:dyDescent="0.25">
      <c r="A213" s="110">
        <v>47</v>
      </c>
      <c r="B213" s="139"/>
      <c r="C213" s="140" t="s">
        <v>149</v>
      </c>
      <c r="D213" s="140" t="s">
        <v>2895</v>
      </c>
      <c r="E213" s="141" t="s">
        <v>2896</v>
      </c>
      <c r="F213" s="142" t="str">
        <f t="shared" si="43"/>
        <v>20 años 1 meses 20 días</v>
      </c>
      <c r="G213" s="143">
        <v>0.6</v>
      </c>
      <c r="H213" s="110" t="str">
        <f t="shared" si="41"/>
        <v>42 años 5 meses 13 días</v>
      </c>
      <c r="I213" s="110" t="str">
        <f t="shared" si="42"/>
        <v>7 años 1 meses 9 días</v>
      </c>
      <c r="J213" s="195"/>
      <c r="K213" s="196"/>
      <c r="L213" s="197"/>
      <c r="M213" s="144">
        <f>31510.27</f>
        <v>31510.27</v>
      </c>
      <c r="N213" s="115">
        <f>M213*G213</f>
        <v>18906.162</v>
      </c>
      <c r="O213" s="134" t="s">
        <v>2360</v>
      </c>
      <c r="P213" s="134" t="s">
        <v>42</v>
      </c>
      <c r="Q213" s="115" t="s">
        <v>339</v>
      </c>
      <c r="R213" s="145">
        <v>38353</v>
      </c>
      <c r="S213" s="146">
        <v>45392</v>
      </c>
      <c r="T213" s="145">
        <v>29887</v>
      </c>
      <c r="U213" s="145">
        <v>42795</v>
      </c>
      <c r="V213" s="116">
        <v>38037</v>
      </c>
      <c r="W213" s="116">
        <v>38352</v>
      </c>
      <c r="X213" s="116"/>
      <c r="Y213" s="116"/>
      <c r="Z213" s="52"/>
      <c r="AA213" s="52"/>
      <c r="AB213" s="52"/>
      <c r="AC213" s="117"/>
      <c r="AD213" s="118" t="s">
        <v>35</v>
      </c>
      <c r="AE213" s="119" t="s">
        <v>36</v>
      </c>
      <c r="AF213" s="135" t="s">
        <v>37</v>
      </c>
      <c r="AH213" s="118">
        <v>1</v>
      </c>
      <c r="AI213" s="118"/>
      <c r="AJ213" s="118"/>
      <c r="AL213" s="118"/>
      <c r="AM213" s="118">
        <v>12</v>
      </c>
      <c r="AN213" s="118"/>
    </row>
    <row r="214" spans="1:40" s="93" customFormat="1" ht="50.1" customHeight="1" x14ac:dyDescent="0.25">
      <c r="A214" s="110">
        <v>48</v>
      </c>
      <c r="B214" s="139"/>
      <c r="C214" s="140" t="s">
        <v>1314</v>
      </c>
      <c r="D214" s="140" t="s">
        <v>2897</v>
      </c>
      <c r="E214" s="141" t="s">
        <v>2898</v>
      </c>
      <c r="F214" s="142" t="str">
        <f t="shared" si="43"/>
        <v>20 años 11 meses 5 días</v>
      </c>
      <c r="G214" s="143">
        <v>0.625</v>
      </c>
      <c r="H214" s="110" t="str">
        <f t="shared" si="41"/>
        <v>48 años 3 meses 21 días</v>
      </c>
      <c r="I214" s="110" t="str">
        <f t="shared" si="42"/>
        <v>9 años 5 meses 5 días</v>
      </c>
      <c r="J214" s="195"/>
      <c r="K214" s="196"/>
      <c r="L214" s="197"/>
      <c r="M214" s="144">
        <f>30394.93</f>
        <v>30394.93</v>
      </c>
      <c r="N214" s="115">
        <f>M214*G214</f>
        <v>18996.831249999999</v>
      </c>
      <c r="O214" s="134"/>
      <c r="P214" s="134" t="s">
        <v>42</v>
      </c>
      <c r="Q214" s="115" t="s">
        <v>336</v>
      </c>
      <c r="R214" s="145">
        <v>40969</v>
      </c>
      <c r="S214" s="146">
        <v>45505</v>
      </c>
      <c r="T214" s="145">
        <v>27861</v>
      </c>
      <c r="U214" s="145">
        <v>42062</v>
      </c>
      <c r="V214" s="116">
        <v>36670</v>
      </c>
      <c r="W214" s="116">
        <v>39028</v>
      </c>
      <c r="X214" s="116">
        <v>39417</v>
      </c>
      <c r="Y214" s="116">
        <v>40169</v>
      </c>
      <c r="Z214" s="52"/>
      <c r="AA214" s="52"/>
      <c r="AB214" s="52"/>
      <c r="AC214" s="117"/>
      <c r="AD214" s="118" t="s">
        <v>134</v>
      </c>
      <c r="AE214" s="119" t="s">
        <v>36</v>
      </c>
      <c r="AF214" s="135" t="s">
        <v>37</v>
      </c>
      <c r="AH214" s="118"/>
      <c r="AI214" s="118">
        <v>1</v>
      </c>
      <c r="AJ214" s="118"/>
      <c r="AL214" s="118"/>
      <c r="AM214" s="118"/>
      <c r="AN214" s="118">
        <v>30</v>
      </c>
    </row>
    <row r="215" spans="1:40" s="93" customFormat="1" ht="50.1" customHeight="1" x14ac:dyDescent="0.25">
      <c r="A215" s="110">
        <v>49</v>
      </c>
      <c r="B215" s="139"/>
      <c r="C215" s="140" t="s">
        <v>176</v>
      </c>
      <c r="D215" s="140" t="s">
        <v>2899</v>
      </c>
      <c r="E215" s="141" t="s">
        <v>2900</v>
      </c>
      <c r="F215" s="142" t="str">
        <f t="shared" si="43"/>
        <v>20 años 0 meses 29 días</v>
      </c>
      <c r="G215" s="143">
        <v>0.6</v>
      </c>
      <c r="H215" s="110" t="str">
        <f t="shared" si="41"/>
        <v>44 años 5 meses 13 días</v>
      </c>
      <c r="I215" s="110" t="str">
        <f t="shared" si="42"/>
        <v>10 años 0 meses 18 días</v>
      </c>
      <c r="J215" s="195"/>
      <c r="K215" s="196"/>
      <c r="L215" s="197"/>
      <c r="M215" s="144">
        <f>30394.94</f>
        <v>30394.94</v>
      </c>
      <c r="N215" s="115">
        <f>M215*G215</f>
        <v>18236.964</v>
      </c>
      <c r="O215" s="134" t="s">
        <v>2360</v>
      </c>
      <c r="P215" s="134" t="s">
        <v>42</v>
      </c>
      <c r="Q215" s="115" t="s">
        <v>339</v>
      </c>
      <c r="R215" s="145">
        <v>38353</v>
      </c>
      <c r="S215" s="146">
        <v>45370</v>
      </c>
      <c r="T215" s="145">
        <v>29134</v>
      </c>
      <c r="U215" s="145">
        <v>41699</v>
      </c>
      <c r="V215" s="116">
        <v>38037</v>
      </c>
      <c r="W215" s="116">
        <v>38352</v>
      </c>
      <c r="X215" s="116"/>
      <c r="Y215" s="116"/>
      <c r="Z215" s="52"/>
      <c r="AA215" s="52"/>
      <c r="AB215" s="52"/>
      <c r="AC215" s="117"/>
      <c r="AD215" s="118" t="s">
        <v>134</v>
      </c>
      <c r="AE215" s="119" t="s">
        <v>36</v>
      </c>
      <c r="AF215" s="135" t="s">
        <v>37</v>
      </c>
      <c r="AH215" s="118">
        <v>1</v>
      </c>
      <c r="AI215" s="118"/>
      <c r="AJ215" s="118"/>
      <c r="AL215" s="118"/>
      <c r="AM215" s="118">
        <v>12</v>
      </c>
      <c r="AN215" s="118"/>
    </row>
    <row r="216" spans="1:40" s="93" customFormat="1" ht="50.1" customHeight="1" x14ac:dyDescent="0.25">
      <c r="A216" s="110">
        <v>50</v>
      </c>
      <c r="B216" s="139"/>
      <c r="C216" s="140" t="s">
        <v>300</v>
      </c>
      <c r="D216" s="140" t="s">
        <v>2901</v>
      </c>
      <c r="E216" s="141" t="s">
        <v>2902</v>
      </c>
      <c r="F216" s="142" t="str">
        <f t="shared" si="43"/>
        <v>23 años 5 meses 0 días</v>
      </c>
      <c r="G216" s="143">
        <v>0.67500000000000004</v>
      </c>
      <c r="H216" s="110" t="str">
        <f t="shared" si="41"/>
        <v>52 años 0 meses 0 días</v>
      </c>
      <c r="I216" s="110"/>
      <c r="J216" s="195"/>
      <c r="K216" s="196"/>
      <c r="L216" s="197"/>
      <c r="M216" s="144"/>
      <c r="N216" s="115">
        <v>10000</v>
      </c>
      <c r="O216" s="134"/>
      <c r="P216" s="134"/>
      <c r="Q216" s="115" t="s">
        <v>336</v>
      </c>
      <c r="R216" s="145">
        <v>36951</v>
      </c>
      <c r="S216" s="146">
        <v>45505</v>
      </c>
      <c r="T216" s="145">
        <v>26512</v>
      </c>
      <c r="U216" s="145"/>
      <c r="V216" s="116"/>
      <c r="W216" s="116"/>
      <c r="X216" s="116"/>
      <c r="Y216" s="116"/>
      <c r="Z216" s="52"/>
      <c r="AA216" s="52"/>
      <c r="AB216" s="52"/>
      <c r="AC216" s="117"/>
      <c r="AD216" s="118" t="s">
        <v>2660</v>
      </c>
      <c r="AE216" s="119" t="s">
        <v>36</v>
      </c>
      <c r="AF216" s="135" t="s">
        <v>37</v>
      </c>
      <c r="AH216" s="118"/>
      <c r="AI216" s="118"/>
      <c r="AJ216" s="118"/>
      <c r="AL216" s="118"/>
      <c r="AM216" s="118"/>
      <c r="AN216" s="118"/>
    </row>
    <row r="217" spans="1:40" s="93" customFormat="1" ht="50.1" customHeight="1" x14ac:dyDescent="0.25">
      <c r="A217" s="110">
        <v>51</v>
      </c>
      <c r="B217" s="139"/>
      <c r="C217" s="140" t="s">
        <v>300</v>
      </c>
      <c r="D217" s="140" t="s">
        <v>2903</v>
      </c>
      <c r="E217" s="141" t="s">
        <v>2904</v>
      </c>
      <c r="F217" s="142" t="str">
        <f t="shared" si="43"/>
        <v>23 años 9 meses 0 días</v>
      </c>
      <c r="G217" s="143">
        <v>0.7</v>
      </c>
      <c r="H217" s="110" t="str">
        <f t="shared" si="41"/>
        <v>50 años 7 meses 14 días</v>
      </c>
      <c r="I217" s="110"/>
      <c r="J217" s="195"/>
      <c r="K217" s="196"/>
      <c r="L217" s="197"/>
      <c r="M217" s="144">
        <f>12139.93</f>
        <v>12139.93</v>
      </c>
      <c r="N217" s="115">
        <v>10000</v>
      </c>
      <c r="O217" s="134"/>
      <c r="P217" s="134" t="s">
        <v>298</v>
      </c>
      <c r="Q217" s="115" t="s">
        <v>336</v>
      </c>
      <c r="R217" s="145">
        <v>36831</v>
      </c>
      <c r="S217" s="146">
        <v>45505</v>
      </c>
      <c r="T217" s="145">
        <v>27016</v>
      </c>
      <c r="U217" s="145"/>
      <c r="V217" s="116"/>
      <c r="W217" s="116"/>
      <c r="X217" s="116"/>
      <c r="Y217" s="116"/>
      <c r="Z217" s="52"/>
      <c r="AA217" s="52"/>
      <c r="AB217" s="52"/>
      <c r="AC217" s="117"/>
      <c r="AD217" s="118" t="s">
        <v>134</v>
      </c>
      <c r="AE217" s="119" t="s">
        <v>36</v>
      </c>
      <c r="AF217" s="135" t="s">
        <v>37</v>
      </c>
      <c r="AH217" s="118"/>
      <c r="AI217" s="118"/>
      <c r="AJ217" s="118"/>
      <c r="AL217" s="118"/>
      <c r="AM217" s="118"/>
      <c r="AN217" s="118"/>
    </row>
    <row r="218" spans="1:40" s="93" customFormat="1" ht="50.1" customHeight="1" x14ac:dyDescent="0.25">
      <c r="A218" s="110">
        <v>52</v>
      </c>
      <c r="B218" s="139"/>
      <c r="C218" s="140" t="s">
        <v>300</v>
      </c>
      <c r="D218" s="140" t="s">
        <v>2905</v>
      </c>
      <c r="E218" s="141" t="s">
        <v>2906</v>
      </c>
      <c r="F218" s="142" t="str">
        <f t="shared" si="43"/>
        <v>29 años 3 meses 0 días</v>
      </c>
      <c r="G218" s="143">
        <v>0.82499999999999996</v>
      </c>
      <c r="H218" s="110" t="str">
        <f t="shared" si="41"/>
        <v>58 años 3 meses 12 días</v>
      </c>
      <c r="I218" s="110"/>
      <c r="J218" s="195"/>
      <c r="K218" s="196"/>
      <c r="L218" s="197"/>
      <c r="M218" s="144">
        <f>12139.93</f>
        <v>12139.93</v>
      </c>
      <c r="N218" s="115">
        <f t="shared" ref="N218:N228" si="46">M218*G218</f>
        <v>10015.44225</v>
      </c>
      <c r="O218" s="134"/>
      <c r="P218" s="134" t="s">
        <v>298</v>
      </c>
      <c r="Q218" s="115" t="s">
        <v>336</v>
      </c>
      <c r="R218" s="145">
        <v>36951</v>
      </c>
      <c r="S218" s="146">
        <v>45505</v>
      </c>
      <c r="T218" s="145">
        <v>24217</v>
      </c>
      <c r="U218" s="145"/>
      <c r="V218" s="116">
        <v>34820</v>
      </c>
      <c r="W218" s="116">
        <v>36951</v>
      </c>
      <c r="X218" s="116"/>
      <c r="Y218" s="116"/>
      <c r="Z218" s="52"/>
      <c r="AA218" s="52"/>
      <c r="AB218" s="52"/>
      <c r="AC218" s="117"/>
      <c r="AD218" s="118" t="s">
        <v>1032</v>
      </c>
      <c r="AE218" s="119" t="s">
        <v>36</v>
      </c>
      <c r="AF218" s="135" t="s">
        <v>37</v>
      </c>
      <c r="AH218" s="118">
        <v>1</v>
      </c>
      <c r="AI218" s="118"/>
      <c r="AJ218" s="118"/>
      <c r="AL218" s="118"/>
      <c r="AM218" s="118">
        <v>12</v>
      </c>
      <c r="AN218" s="118"/>
    </row>
    <row r="219" spans="1:40" s="93" customFormat="1" ht="50.1" customHeight="1" x14ac:dyDescent="0.25">
      <c r="A219" s="110">
        <v>53</v>
      </c>
      <c r="B219" s="139"/>
      <c r="C219" s="140" t="s">
        <v>300</v>
      </c>
      <c r="D219" s="140" t="s">
        <v>2907</v>
      </c>
      <c r="E219" s="141" t="s">
        <v>2908</v>
      </c>
      <c r="F219" s="142" t="str">
        <f t="shared" si="43"/>
        <v>27 años 9 meses 0 días</v>
      </c>
      <c r="G219" s="143">
        <v>0.8</v>
      </c>
      <c r="H219" s="110" t="str">
        <f t="shared" si="41"/>
        <v>66 años 3 meses 19 días</v>
      </c>
      <c r="I219" s="110"/>
      <c r="J219" s="195"/>
      <c r="K219" s="196"/>
      <c r="L219" s="197"/>
      <c r="M219" s="144">
        <f>15600</f>
        <v>15600</v>
      </c>
      <c r="N219" s="115">
        <f t="shared" si="46"/>
        <v>12480</v>
      </c>
      <c r="O219" s="134"/>
      <c r="P219" s="134" t="s">
        <v>298</v>
      </c>
      <c r="Q219" s="115" t="s">
        <v>336</v>
      </c>
      <c r="R219" s="145">
        <v>36951</v>
      </c>
      <c r="S219" s="146">
        <v>45505</v>
      </c>
      <c r="T219" s="145">
        <v>21288</v>
      </c>
      <c r="U219" s="145"/>
      <c r="V219" s="116">
        <v>35370</v>
      </c>
      <c r="W219" s="116">
        <v>36951</v>
      </c>
      <c r="X219" s="116"/>
      <c r="Y219" s="116"/>
      <c r="Z219" s="52"/>
      <c r="AA219" s="52"/>
      <c r="AB219" s="52"/>
      <c r="AC219" s="117"/>
      <c r="AD219" s="118" t="s">
        <v>2660</v>
      </c>
      <c r="AE219" s="119" t="s">
        <v>36</v>
      </c>
      <c r="AF219" s="135" t="s">
        <v>37</v>
      </c>
      <c r="AH219" s="118"/>
      <c r="AI219" s="118"/>
      <c r="AJ219" s="118"/>
      <c r="AL219" s="118"/>
      <c r="AM219" s="118"/>
      <c r="AN219" s="118"/>
    </row>
    <row r="220" spans="1:40" s="93" customFormat="1" ht="50.1" customHeight="1" x14ac:dyDescent="0.25">
      <c r="A220" s="110">
        <v>54</v>
      </c>
      <c r="B220" s="139"/>
      <c r="C220" s="140" t="s">
        <v>300</v>
      </c>
      <c r="D220" s="140" t="s">
        <v>2909</v>
      </c>
      <c r="E220" s="141" t="s">
        <v>2910</v>
      </c>
      <c r="F220" s="142" t="str">
        <f t="shared" si="43"/>
        <v>20 años 4 meses 0 días</v>
      </c>
      <c r="G220" s="143">
        <v>0.6</v>
      </c>
      <c r="H220" s="110" t="str">
        <f t="shared" si="41"/>
        <v>48 años 2 meses 0 días</v>
      </c>
      <c r="I220" s="110"/>
      <c r="J220" s="195"/>
      <c r="K220" s="196"/>
      <c r="L220" s="197"/>
      <c r="M220" s="144">
        <f>11600</f>
        <v>11600</v>
      </c>
      <c r="N220" s="115">
        <v>10000</v>
      </c>
      <c r="O220" s="134"/>
      <c r="P220" s="134" t="s">
        <v>298</v>
      </c>
      <c r="Q220" s="115" t="s">
        <v>336</v>
      </c>
      <c r="R220" s="145">
        <v>39387</v>
      </c>
      <c r="S220" s="146">
        <v>45505</v>
      </c>
      <c r="T220" s="145">
        <v>27912</v>
      </c>
      <c r="U220" s="145"/>
      <c r="V220" s="116">
        <v>38078</v>
      </c>
      <c r="W220" s="116">
        <v>39387</v>
      </c>
      <c r="X220" s="116"/>
      <c r="Y220" s="116"/>
      <c r="Z220" s="52"/>
      <c r="AA220" s="52"/>
      <c r="AB220" s="52"/>
      <c r="AC220" s="117"/>
      <c r="AD220" s="118" t="s">
        <v>1032</v>
      </c>
      <c r="AE220" s="119" t="s">
        <v>36</v>
      </c>
      <c r="AF220" s="135" t="s">
        <v>37</v>
      </c>
      <c r="AH220" s="118">
        <v>1</v>
      </c>
      <c r="AI220" s="118"/>
      <c r="AJ220" s="118"/>
      <c r="AL220" s="118"/>
      <c r="AM220" s="118">
        <v>12</v>
      </c>
      <c r="AN220" s="118"/>
    </row>
    <row r="221" spans="1:40" s="93" customFormat="1" ht="50.1" customHeight="1" x14ac:dyDescent="0.25">
      <c r="A221" s="110">
        <v>55</v>
      </c>
      <c r="B221" s="139"/>
      <c r="C221" s="140" t="s">
        <v>300</v>
      </c>
      <c r="D221" s="140" t="s">
        <v>2911</v>
      </c>
      <c r="E221" s="141" t="s">
        <v>2912</v>
      </c>
      <c r="F221" s="142" t="str">
        <f t="shared" si="43"/>
        <v>28 años 2 meses 0 días</v>
      </c>
      <c r="G221" s="143">
        <v>0.8</v>
      </c>
      <c r="H221" s="110" t="str">
        <f t="shared" si="41"/>
        <v>47 años 1 meses 6 días</v>
      </c>
      <c r="I221" s="110"/>
      <c r="J221" s="195"/>
      <c r="K221" s="196"/>
      <c r="L221" s="197"/>
      <c r="M221" s="144">
        <f>13352.65+4400</f>
        <v>17752.650000000001</v>
      </c>
      <c r="N221" s="115">
        <f t="shared" si="46"/>
        <v>14202.120000000003</v>
      </c>
      <c r="O221" s="134"/>
      <c r="P221" s="134" t="s">
        <v>298</v>
      </c>
      <c r="Q221" s="115" t="s">
        <v>336</v>
      </c>
      <c r="R221" s="145">
        <v>36951</v>
      </c>
      <c r="S221" s="146">
        <v>45505</v>
      </c>
      <c r="T221" s="145">
        <v>28302</v>
      </c>
      <c r="U221" s="145"/>
      <c r="V221" s="116">
        <v>35217</v>
      </c>
      <c r="W221" s="116">
        <v>36951</v>
      </c>
      <c r="X221" s="116"/>
      <c r="Y221" s="116"/>
      <c r="Z221" s="52"/>
      <c r="AA221" s="52"/>
      <c r="AB221" s="52"/>
      <c r="AC221" s="117"/>
      <c r="AD221" s="118" t="s">
        <v>35</v>
      </c>
      <c r="AE221" s="119" t="s">
        <v>36</v>
      </c>
      <c r="AF221" s="135" t="s">
        <v>37</v>
      </c>
      <c r="AH221" s="118">
        <v>1</v>
      </c>
      <c r="AI221" s="118"/>
      <c r="AJ221" s="118"/>
      <c r="AL221" s="118"/>
      <c r="AM221" s="118">
        <v>12</v>
      </c>
      <c r="AN221" s="118"/>
    </row>
    <row r="222" spans="1:40" s="93" customFormat="1" ht="50.1" customHeight="1" x14ac:dyDescent="0.25">
      <c r="A222" s="110">
        <v>56</v>
      </c>
      <c r="B222" s="139"/>
      <c r="C222" s="140" t="s">
        <v>300</v>
      </c>
      <c r="D222" s="140" t="s">
        <v>2913</v>
      </c>
      <c r="E222" s="141" t="s">
        <v>2914</v>
      </c>
      <c r="F222" s="142" t="str">
        <f t="shared" si="43"/>
        <v>29 años 10 meses 11 días</v>
      </c>
      <c r="G222" s="143">
        <v>0.85</v>
      </c>
      <c r="H222" s="110" t="str">
        <f t="shared" si="41"/>
        <v>54 años 8 meses 3 días</v>
      </c>
      <c r="I222" s="110"/>
      <c r="J222" s="195"/>
      <c r="K222" s="196"/>
      <c r="L222" s="197"/>
      <c r="M222" s="144">
        <v>28665</v>
      </c>
      <c r="N222" s="115">
        <f t="shared" si="46"/>
        <v>24365.25</v>
      </c>
      <c r="O222" s="134"/>
      <c r="P222" s="134" t="s">
        <v>298</v>
      </c>
      <c r="Q222" s="115" t="s">
        <v>336</v>
      </c>
      <c r="R222" s="145">
        <v>37314</v>
      </c>
      <c r="S222" s="146">
        <v>45505</v>
      </c>
      <c r="T222" s="145">
        <v>25536</v>
      </c>
      <c r="U222" s="145"/>
      <c r="V222" s="116">
        <v>33644</v>
      </c>
      <c r="W222" s="116">
        <v>34976</v>
      </c>
      <c r="X222" s="116">
        <v>35930</v>
      </c>
      <c r="Y222" s="116">
        <v>37314</v>
      </c>
      <c r="Z222" s="52"/>
      <c r="AA222" s="52"/>
      <c r="AB222" s="52"/>
      <c r="AC222" s="117"/>
      <c r="AD222" s="118" t="s">
        <v>35</v>
      </c>
      <c r="AE222" s="119" t="s">
        <v>36</v>
      </c>
      <c r="AF222" s="135" t="s">
        <v>37</v>
      </c>
      <c r="AH222" s="118">
        <v>1</v>
      </c>
      <c r="AI222" s="118">
        <v>1</v>
      </c>
      <c r="AJ222" s="118"/>
      <c r="AL222" s="118"/>
      <c r="AM222" s="118">
        <v>12</v>
      </c>
      <c r="AN222" s="118">
        <v>30</v>
      </c>
    </row>
    <row r="223" spans="1:40" s="93" customFormat="1" ht="50.1" customHeight="1" x14ac:dyDescent="0.25">
      <c r="A223" s="110">
        <v>57</v>
      </c>
      <c r="B223" s="139"/>
      <c r="C223" s="140" t="s">
        <v>300</v>
      </c>
      <c r="D223" s="140" t="s">
        <v>2915</v>
      </c>
      <c r="E223" s="141" t="s">
        <v>2916</v>
      </c>
      <c r="F223" s="142" t="str">
        <f t="shared" si="43"/>
        <v>29 años 9 meses 0 días</v>
      </c>
      <c r="G223" s="143">
        <v>0.85</v>
      </c>
      <c r="H223" s="110" t="str">
        <f t="shared" si="41"/>
        <v>59 años 8 meses 21 días</v>
      </c>
      <c r="I223" s="110"/>
      <c r="J223" s="195"/>
      <c r="K223" s="196"/>
      <c r="L223" s="197"/>
      <c r="M223" s="144">
        <f>13500</f>
        <v>13500</v>
      </c>
      <c r="N223" s="115">
        <f t="shared" si="46"/>
        <v>11475</v>
      </c>
      <c r="O223" s="134"/>
      <c r="P223" s="134" t="s">
        <v>298</v>
      </c>
      <c r="Q223" s="115" t="s">
        <v>336</v>
      </c>
      <c r="R223" s="145">
        <v>36951</v>
      </c>
      <c r="S223" s="146">
        <v>45505</v>
      </c>
      <c r="T223" s="145">
        <v>23692</v>
      </c>
      <c r="U223" s="145"/>
      <c r="V223" s="116">
        <v>34639</v>
      </c>
      <c r="W223" s="116">
        <v>36951</v>
      </c>
      <c r="X223" s="116"/>
      <c r="Y223" s="116"/>
      <c r="Z223" s="52"/>
      <c r="AA223" s="52"/>
      <c r="AB223" s="52"/>
      <c r="AC223" s="117"/>
      <c r="AD223" s="118" t="s">
        <v>1032</v>
      </c>
      <c r="AE223" s="119" t="s">
        <v>36</v>
      </c>
      <c r="AF223" s="135" t="s">
        <v>37</v>
      </c>
      <c r="AH223" s="118"/>
      <c r="AI223" s="118"/>
      <c r="AJ223" s="118"/>
      <c r="AL223" s="118"/>
      <c r="AM223" s="118"/>
      <c r="AN223" s="118"/>
    </row>
    <row r="224" spans="1:40" s="93" customFormat="1" ht="50.1" customHeight="1" x14ac:dyDescent="0.25">
      <c r="A224" s="110">
        <v>58</v>
      </c>
      <c r="B224" s="139"/>
      <c r="C224" s="140" t="s">
        <v>300</v>
      </c>
      <c r="D224" s="140" t="s">
        <v>2917</v>
      </c>
      <c r="E224" s="141" t="s">
        <v>2918</v>
      </c>
      <c r="F224" s="142" t="str">
        <f t="shared" si="43"/>
        <v>36 años 8 meses 0 días</v>
      </c>
      <c r="G224" s="143">
        <v>1</v>
      </c>
      <c r="H224" s="110" t="str">
        <f t="shared" si="41"/>
        <v>73 años 4 meses 11 días</v>
      </c>
      <c r="I224" s="110"/>
      <c r="J224" s="195"/>
      <c r="K224" s="196"/>
      <c r="L224" s="197"/>
      <c r="M224" s="144">
        <v>15600</v>
      </c>
      <c r="N224" s="115">
        <f t="shared" si="46"/>
        <v>15600</v>
      </c>
      <c r="O224" s="134"/>
      <c r="P224" s="134"/>
      <c r="Q224" s="115" t="s">
        <v>336</v>
      </c>
      <c r="R224" s="145">
        <v>32112</v>
      </c>
      <c r="S224" s="146">
        <v>45505</v>
      </c>
      <c r="T224" s="145">
        <v>18708</v>
      </c>
      <c r="U224" s="145"/>
      <c r="V224" s="116"/>
      <c r="W224" s="116"/>
      <c r="X224" s="116"/>
      <c r="Y224" s="116"/>
      <c r="Z224" s="52"/>
      <c r="AA224" s="52"/>
      <c r="AB224" s="52"/>
      <c r="AC224" s="117"/>
      <c r="AD224" s="118" t="s">
        <v>1032</v>
      </c>
      <c r="AE224" s="119" t="s">
        <v>36</v>
      </c>
      <c r="AF224" s="135"/>
      <c r="AH224" s="118"/>
      <c r="AI224" s="118"/>
      <c r="AJ224" s="118"/>
      <c r="AL224" s="118"/>
      <c r="AM224" s="118"/>
      <c r="AN224" s="118"/>
    </row>
    <row r="225" spans="1:40" s="93" customFormat="1" ht="50.1" customHeight="1" x14ac:dyDescent="0.25">
      <c r="A225" s="110">
        <v>59</v>
      </c>
      <c r="B225" s="139"/>
      <c r="C225" s="140" t="s">
        <v>300</v>
      </c>
      <c r="D225" s="140" t="s">
        <v>2919</v>
      </c>
      <c r="E225" s="141" t="s">
        <v>2920</v>
      </c>
      <c r="F225" s="142" t="str">
        <f t="shared" si="43"/>
        <v>23 años 5 meses 0 días</v>
      </c>
      <c r="G225" s="143">
        <v>0.67500000000000004</v>
      </c>
      <c r="H225" s="110" t="str">
        <f t="shared" si="41"/>
        <v>68 años 11 meses 5 días</v>
      </c>
      <c r="I225" s="110"/>
      <c r="J225" s="195"/>
      <c r="K225" s="196"/>
      <c r="L225" s="197"/>
      <c r="M225" s="144">
        <v>11600</v>
      </c>
      <c r="N225" s="115">
        <v>10000</v>
      </c>
      <c r="O225" s="134"/>
      <c r="P225" s="134"/>
      <c r="Q225" s="115" t="s">
        <v>336</v>
      </c>
      <c r="R225" s="145">
        <v>36951</v>
      </c>
      <c r="S225" s="146">
        <v>45505</v>
      </c>
      <c r="T225" s="145">
        <v>20328</v>
      </c>
      <c r="U225" s="145"/>
      <c r="V225" s="116"/>
      <c r="W225" s="116"/>
      <c r="X225" s="116"/>
      <c r="Y225" s="116"/>
      <c r="Z225" s="52"/>
      <c r="AA225" s="52"/>
      <c r="AB225" s="52"/>
      <c r="AC225" s="117"/>
      <c r="AD225" s="118"/>
      <c r="AE225" s="119"/>
      <c r="AF225" s="135"/>
      <c r="AH225" s="118"/>
      <c r="AI225" s="118"/>
      <c r="AJ225" s="118"/>
      <c r="AL225" s="118"/>
      <c r="AM225" s="118"/>
      <c r="AN225" s="118"/>
    </row>
    <row r="226" spans="1:40" s="93" customFormat="1" ht="50.1" customHeight="1" x14ac:dyDescent="0.25">
      <c r="A226" s="110">
        <v>60</v>
      </c>
      <c r="B226" s="139"/>
      <c r="C226" s="140" t="s">
        <v>300</v>
      </c>
      <c r="D226" s="140" t="s">
        <v>2921</v>
      </c>
      <c r="E226" s="141" t="s">
        <v>2922</v>
      </c>
      <c r="F226" s="142" t="str">
        <f t="shared" si="43"/>
        <v>23 años 5 meses 0 días</v>
      </c>
      <c r="G226" s="143">
        <v>0.67500000000000004</v>
      </c>
      <c r="H226" s="110" t="str">
        <f t="shared" si="41"/>
        <v>48 años 7 meses 4 días</v>
      </c>
      <c r="I226" s="110"/>
      <c r="J226" s="195"/>
      <c r="K226" s="196"/>
      <c r="L226" s="197"/>
      <c r="M226" s="144">
        <f>11000+4400</f>
        <v>15400</v>
      </c>
      <c r="N226" s="115">
        <f t="shared" si="46"/>
        <v>10395</v>
      </c>
      <c r="O226" s="134"/>
      <c r="P226" s="134" t="s">
        <v>298</v>
      </c>
      <c r="Q226" s="115" t="s">
        <v>336</v>
      </c>
      <c r="R226" s="145">
        <v>36951</v>
      </c>
      <c r="S226" s="146">
        <v>45505</v>
      </c>
      <c r="T226" s="145">
        <v>27756</v>
      </c>
      <c r="U226" s="145"/>
      <c r="V226" s="116"/>
      <c r="W226" s="116"/>
      <c r="X226" s="116"/>
      <c r="Y226" s="116"/>
      <c r="Z226" s="52"/>
      <c r="AA226" s="52"/>
      <c r="AB226" s="52"/>
      <c r="AC226" s="117"/>
      <c r="AD226" s="118" t="s">
        <v>134</v>
      </c>
      <c r="AE226" s="119" t="s">
        <v>36</v>
      </c>
      <c r="AF226" s="135" t="s">
        <v>37</v>
      </c>
      <c r="AH226" s="118"/>
      <c r="AI226" s="118"/>
      <c r="AJ226" s="118"/>
      <c r="AL226" s="118"/>
      <c r="AM226" s="118"/>
      <c r="AN226" s="118"/>
    </row>
    <row r="227" spans="1:40" s="93" customFormat="1" ht="50.1" customHeight="1" x14ac:dyDescent="0.25">
      <c r="A227" s="110">
        <v>61</v>
      </c>
      <c r="B227" s="139"/>
      <c r="C227" s="140" t="s">
        <v>300</v>
      </c>
      <c r="D227" s="140" t="s">
        <v>2923</v>
      </c>
      <c r="E227" s="141" t="s">
        <v>2924</v>
      </c>
      <c r="F227" s="142" t="str">
        <f t="shared" si="43"/>
        <v>36 años 11 meses 20 días</v>
      </c>
      <c r="G227" s="143">
        <v>1</v>
      </c>
      <c r="H227" s="110" t="str">
        <f t="shared" si="41"/>
        <v>68 años 0 meses 17 días</v>
      </c>
      <c r="I227" s="110"/>
      <c r="J227" s="195"/>
      <c r="K227" s="196"/>
      <c r="L227" s="197"/>
      <c r="M227" s="144">
        <f>13352.65</f>
        <v>13352.65</v>
      </c>
      <c r="N227" s="115">
        <f t="shared" si="46"/>
        <v>13352.65</v>
      </c>
      <c r="O227" s="134" t="s">
        <v>2602</v>
      </c>
      <c r="P227" s="134" t="s">
        <v>33</v>
      </c>
      <c r="Q227" s="115" t="s">
        <v>337</v>
      </c>
      <c r="R227" s="145">
        <v>38961</v>
      </c>
      <c r="S227" s="146">
        <v>45505</v>
      </c>
      <c r="T227" s="145">
        <v>20651</v>
      </c>
      <c r="U227" s="145"/>
      <c r="V227" s="116">
        <v>31093</v>
      </c>
      <c r="W227" s="116">
        <v>32755</v>
      </c>
      <c r="X227" s="116">
        <v>33664</v>
      </c>
      <c r="Y227" s="116">
        <v>38960</v>
      </c>
      <c r="Z227" s="52"/>
      <c r="AA227" s="52"/>
      <c r="AB227" s="52"/>
      <c r="AC227" s="117"/>
      <c r="AD227" s="118" t="s">
        <v>134</v>
      </c>
      <c r="AE227" s="119" t="s">
        <v>36</v>
      </c>
      <c r="AF227" s="135" t="s">
        <v>37</v>
      </c>
      <c r="AH227" s="118">
        <v>1</v>
      </c>
      <c r="AI227" s="118">
        <v>1</v>
      </c>
      <c r="AJ227" s="118"/>
      <c r="AL227" s="118"/>
      <c r="AM227" s="118">
        <v>12</v>
      </c>
      <c r="AN227" s="118">
        <v>30</v>
      </c>
    </row>
    <row r="228" spans="1:40" s="93" customFormat="1" ht="50.1" customHeight="1" x14ac:dyDescent="0.25">
      <c r="A228" s="110">
        <v>62</v>
      </c>
      <c r="B228" s="139"/>
      <c r="C228" s="140" t="s">
        <v>300</v>
      </c>
      <c r="D228" s="140" t="s">
        <v>2925</v>
      </c>
      <c r="E228" s="141" t="s">
        <v>2926</v>
      </c>
      <c r="F228" s="142" t="str">
        <f t="shared" si="43"/>
        <v>23 años 4 meses 12 días</v>
      </c>
      <c r="G228" s="143">
        <v>1</v>
      </c>
      <c r="H228" s="110" t="str">
        <f t="shared" si="41"/>
        <v>73 años 7 meses 25 días</v>
      </c>
      <c r="I228" s="110"/>
      <c r="J228" s="195"/>
      <c r="K228" s="196"/>
      <c r="L228" s="197"/>
      <c r="M228" s="144">
        <v>12500</v>
      </c>
      <c r="N228" s="115">
        <f t="shared" si="46"/>
        <v>12500</v>
      </c>
      <c r="O228" s="134" t="s">
        <v>2602</v>
      </c>
      <c r="P228" s="134" t="s">
        <v>33</v>
      </c>
      <c r="Q228" s="115" t="s">
        <v>337</v>
      </c>
      <c r="R228" s="145">
        <v>36970</v>
      </c>
      <c r="S228" s="146">
        <v>45505</v>
      </c>
      <c r="T228" s="145">
        <v>18604</v>
      </c>
      <c r="U228" s="145"/>
      <c r="V228" s="116"/>
      <c r="W228" s="116"/>
      <c r="X228" s="116"/>
      <c r="Y228" s="116"/>
      <c r="Z228" s="52"/>
      <c r="AA228" s="52"/>
      <c r="AB228" s="52"/>
      <c r="AC228" s="117"/>
      <c r="AD228" s="118" t="s">
        <v>268</v>
      </c>
      <c r="AE228" s="119" t="s">
        <v>36</v>
      </c>
      <c r="AF228" s="135" t="s">
        <v>37</v>
      </c>
      <c r="AH228" s="118"/>
      <c r="AI228" s="118"/>
      <c r="AJ228" s="118"/>
      <c r="AL228" s="118"/>
      <c r="AM228" s="118"/>
      <c r="AN228" s="118"/>
    </row>
    <row r="230" spans="1:40" s="91" customFormat="1" x14ac:dyDescent="0.25">
      <c r="A230" s="198" t="s">
        <v>316</v>
      </c>
      <c r="B230" s="199"/>
      <c r="C230" s="199"/>
      <c r="D230" s="199"/>
      <c r="E230" s="199"/>
      <c r="F230" s="199"/>
      <c r="G230" s="199"/>
      <c r="H230" s="199"/>
      <c r="I230" s="199"/>
      <c r="J230" s="199"/>
      <c r="K230" s="199"/>
      <c r="L230" s="199"/>
      <c r="M230" s="199"/>
      <c r="N230" s="199"/>
      <c r="O230" s="199"/>
      <c r="P230" s="199"/>
      <c r="Q230" s="200"/>
      <c r="R230" s="138"/>
      <c r="S230" s="90"/>
      <c r="T230" s="90"/>
      <c r="Z230" s="52"/>
      <c r="AA230" s="52"/>
      <c r="AB230" s="52"/>
      <c r="AD230" s="92"/>
      <c r="AG230" s="93"/>
      <c r="AH230" s="187"/>
      <c r="AI230" s="188"/>
      <c r="AJ230" s="189"/>
      <c r="AL230" s="187"/>
      <c r="AM230" s="188"/>
      <c r="AN230" s="189"/>
    </row>
    <row r="231" spans="1:40" s="104" customFormat="1" ht="50.1" customHeight="1" x14ac:dyDescent="0.25">
      <c r="A231" s="94" t="s">
        <v>4</v>
      </c>
      <c r="B231" s="94" t="s">
        <v>5</v>
      </c>
      <c r="C231" s="95" t="s">
        <v>6</v>
      </c>
      <c r="D231" s="95" t="s">
        <v>7</v>
      </c>
      <c r="E231" s="94" t="s">
        <v>8</v>
      </c>
      <c r="F231" s="96" t="s">
        <v>9</v>
      </c>
      <c r="G231" s="96" t="s">
        <v>10</v>
      </c>
      <c r="H231" s="95" t="s">
        <v>11</v>
      </c>
      <c r="I231" s="97" t="s">
        <v>12</v>
      </c>
      <c r="J231" s="182" t="s">
        <v>13</v>
      </c>
      <c r="K231" s="183"/>
      <c r="L231" s="98" t="s">
        <v>14</v>
      </c>
      <c r="M231" s="99" t="s">
        <v>15</v>
      </c>
      <c r="N231" s="99" t="s">
        <v>16</v>
      </c>
      <c r="O231" s="99" t="s">
        <v>17</v>
      </c>
      <c r="P231" s="99" t="s">
        <v>18</v>
      </c>
      <c r="Q231" s="99" t="s">
        <v>335</v>
      </c>
      <c r="R231" s="99" t="s">
        <v>1950</v>
      </c>
      <c r="S231" s="100" t="s">
        <v>19</v>
      </c>
      <c r="T231" s="100" t="s">
        <v>20</v>
      </c>
      <c r="U231" s="101" t="s">
        <v>21</v>
      </c>
      <c r="V231" s="95" t="s">
        <v>13</v>
      </c>
      <c r="W231" s="100" t="s">
        <v>19</v>
      </c>
      <c r="X231" s="100" t="s">
        <v>20</v>
      </c>
      <c r="Y231" s="100" t="s">
        <v>19</v>
      </c>
      <c r="Z231" s="100" t="s">
        <v>20</v>
      </c>
      <c r="AA231" s="52"/>
      <c r="AB231" s="52"/>
      <c r="AC231" s="102"/>
      <c r="AD231" s="100" t="s">
        <v>22</v>
      </c>
      <c r="AE231" s="100" t="s">
        <v>23</v>
      </c>
      <c r="AF231" s="100" t="s">
        <v>24</v>
      </c>
      <c r="AG231" s="93"/>
      <c r="AH231" s="103" t="s">
        <v>25</v>
      </c>
      <c r="AI231" s="103" t="s">
        <v>26</v>
      </c>
      <c r="AJ231" s="103" t="s">
        <v>27</v>
      </c>
      <c r="AK231" s="93"/>
      <c r="AL231" s="103" t="s">
        <v>25</v>
      </c>
      <c r="AM231" s="103" t="s">
        <v>26</v>
      </c>
      <c r="AN231" s="103" t="s">
        <v>28</v>
      </c>
    </row>
    <row r="232" spans="1:40" s="93" customFormat="1" ht="50.1" customHeight="1" x14ac:dyDescent="0.25">
      <c r="A232" s="110">
        <v>1</v>
      </c>
      <c r="B232" s="139"/>
      <c r="C232" s="140" t="s">
        <v>300</v>
      </c>
      <c r="D232" s="140" t="s">
        <v>2927</v>
      </c>
      <c r="E232" s="141" t="s">
        <v>2928</v>
      </c>
      <c r="F232" s="142" t="str">
        <f t="shared" ref="F232:F239" si="47">DATEDIF(R232,S232,"y") + DATEDIF(V232,W232,"y") + DATEDIF(X232,Y232,"y") + SUM(AH232) &amp; " años " &amp; DATEDIF(R232,S232,"ym") + DATEDIF(V232,W232,"ym") + DATEDIF(X232,Y232,"ym") + SUM(AI232) - SUM(AM232) &amp; " meses " &amp; DATEDIF(R232,S232,"md") + DATEDIF(V232,W232,"md") + DATEDIF(X232,Y232,"md") - SUM(AN232) &amp; " días"</f>
        <v>20 años 7 meses 20 días</v>
      </c>
      <c r="G232" s="143">
        <v>0.625</v>
      </c>
      <c r="H232" s="110" t="str">
        <f t="shared" ref="H232:H239" si="48">DATEDIF(T232,S232,"y") &amp; " años " &amp; DATEDIF(T232,S232,"ym") &amp; " meses " &amp; DATEDIF(T232,S232,"md") &amp; " días"</f>
        <v>73 años 2 meses 15 días</v>
      </c>
      <c r="I232" s="110"/>
      <c r="J232" s="195"/>
      <c r="K232" s="196"/>
      <c r="L232" s="197"/>
      <c r="M232" s="144">
        <v>8429.4599999999991</v>
      </c>
      <c r="N232" s="115">
        <v>10000</v>
      </c>
      <c r="O232" s="134"/>
      <c r="P232" s="134" t="s">
        <v>298</v>
      </c>
      <c r="Q232" s="115" t="s">
        <v>336</v>
      </c>
      <c r="R232" s="145">
        <v>37967</v>
      </c>
      <c r="S232" s="146">
        <v>45505</v>
      </c>
      <c r="T232" s="145">
        <v>18765</v>
      </c>
      <c r="U232" s="145"/>
      <c r="V232" s="116"/>
      <c r="W232" s="116"/>
      <c r="X232" s="116"/>
      <c r="Y232" s="116"/>
      <c r="Z232" s="52"/>
      <c r="AA232" s="52"/>
      <c r="AB232" s="52"/>
      <c r="AC232" s="117"/>
      <c r="AD232" s="118" t="s">
        <v>35</v>
      </c>
      <c r="AE232" s="119" t="s">
        <v>36</v>
      </c>
      <c r="AF232" s="135" t="s">
        <v>37</v>
      </c>
      <c r="AH232" s="118"/>
      <c r="AI232" s="118"/>
      <c r="AJ232" s="118"/>
      <c r="AL232" s="118"/>
      <c r="AM232" s="118"/>
      <c r="AN232" s="118"/>
    </row>
    <row r="233" spans="1:40" s="93" customFormat="1" ht="50.1" customHeight="1" x14ac:dyDescent="0.25">
      <c r="A233" s="110">
        <v>2</v>
      </c>
      <c r="B233" s="139"/>
      <c r="C233" s="140" t="s">
        <v>300</v>
      </c>
      <c r="D233" s="140" t="s">
        <v>2929</v>
      </c>
      <c r="E233" s="141" t="s">
        <v>2930</v>
      </c>
      <c r="F233" s="142" t="str">
        <f t="shared" si="47"/>
        <v>31 años 9 meses 29 días</v>
      </c>
      <c r="G233" s="143">
        <v>0.91</v>
      </c>
      <c r="H233" s="110" t="str">
        <f t="shared" si="48"/>
        <v>70 años 4 meses 23 días</v>
      </c>
      <c r="I233" s="110"/>
      <c r="J233" s="195"/>
      <c r="K233" s="196"/>
      <c r="L233" s="197"/>
      <c r="M233" s="144"/>
      <c r="N233" s="115">
        <v>10000</v>
      </c>
      <c r="O233" s="134"/>
      <c r="P233" s="134"/>
      <c r="Q233" s="115" t="s">
        <v>336</v>
      </c>
      <c r="R233" s="145">
        <v>33880</v>
      </c>
      <c r="S233" s="146">
        <v>45505</v>
      </c>
      <c r="T233" s="145">
        <v>19792</v>
      </c>
      <c r="U233" s="145"/>
      <c r="V233" s="116"/>
      <c r="W233" s="116"/>
      <c r="X233" s="116"/>
      <c r="Y233" s="116"/>
      <c r="Z233" s="52"/>
      <c r="AA233" s="52"/>
      <c r="AB233" s="52"/>
      <c r="AC233" s="117"/>
      <c r="AD233" s="118"/>
      <c r="AE233" s="119"/>
      <c r="AF233" s="135"/>
      <c r="AH233" s="118"/>
      <c r="AI233" s="118"/>
      <c r="AJ233" s="118"/>
      <c r="AL233" s="118"/>
      <c r="AM233" s="118"/>
      <c r="AN233" s="118"/>
    </row>
    <row r="234" spans="1:40" s="93" customFormat="1" ht="50.1" customHeight="1" x14ac:dyDescent="0.25">
      <c r="A234" s="110">
        <v>3</v>
      </c>
      <c r="B234" s="139"/>
      <c r="C234" s="140" t="s">
        <v>300</v>
      </c>
      <c r="D234" s="140" t="s">
        <v>2931</v>
      </c>
      <c r="E234" s="141" t="s">
        <v>2932</v>
      </c>
      <c r="F234" s="142" t="str">
        <f t="shared" si="47"/>
        <v>23 años 4 meses 17 días</v>
      </c>
      <c r="G234" s="143">
        <v>0.67500000000000004</v>
      </c>
      <c r="H234" s="110" t="str">
        <f t="shared" si="48"/>
        <v>61 años 0 meses 20 días</v>
      </c>
      <c r="I234" s="110"/>
      <c r="J234" s="195"/>
      <c r="K234" s="196"/>
      <c r="L234" s="197"/>
      <c r="M234" s="144">
        <v>14300</v>
      </c>
      <c r="N234" s="115">
        <v>10000</v>
      </c>
      <c r="O234" s="134"/>
      <c r="P234" s="134"/>
      <c r="Q234" s="115" t="s">
        <v>336</v>
      </c>
      <c r="R234" s="145">
        <v>36965</v>
      </c>
      <c r="S234" s="146">
        <v>45505</v>
      </c>
      <c r="T234" s="145">
        <v>23204</v>
      </c>
      <c r="U234" s="145"/>
      <c r="V234" s="116"/>
      <c r="W234" s="116"/>
      <c r="X234" s="116"/>
      <c r="Y234" s="116"/>
      <c r="Z234" s="52"/>
      <c r="AA234" s="52"/>
      <c r="AB234" s="52"/>
      <c r="AC234" s="117"/>
      <c r="AD234" s="118"/>
      <c r="AE234" s="119"/>
      <c r="AF234" s="135"/>
      <c r="AH234" s="118"/>
      <c r="AI234" s="118"/>
      <c r="AJ234" s="118"/>
      <c r="AL234" s="118"/>
      <c r="AM234" s="118"/>
      <c r="AN234" s="118"/>
    </row>
    <row r="235" spans="1:40" s="93" customFormat="1" ht="50.1" customHeight="1" x14ac:dyDescent="0.25">
      <c r="A235" s="110">
        <v>4</v>
      </c>
      <c r="B235" s="139"/>
      <c r="C235" s="140" t="s">
        <v>300</v>
      </c>
      <c r="D235" s="140" t="s">
        <v>2933</v>
      </c>
      <c r="E235" s="141" t="s">
        <v>2934</v>
      </c>
      <c r="F235" s="142" t="str">
        <f t="shared" si="47"/>
        <v>40 años 0 meses 1 días</v>
      </c>
      <c r="G235" s="143">
        <v>1</v>
      </c>
      <c r="H235" s="110" t="str">
        <f t="shared" si="48"/>
        <v>64 años 3 meses 12 días</v>
      </c>
      <c r="I235" s="110"/>
      <c r="J235" s="195"/>
      <c r="K235" s="196"/>
      <c r="L235" s="197"/>
      <c r="M235" s="144">
        <v>35000</v>
      </c>
      <c r="N235" s="115">
        <f>M235*G235</f>
        <v>35000</v>
      </c>
      <c r="O235" s="134"/>
      <c r="P235" s="134" t="s">
        <v>298</v>
      </c>
      <c r="Q235" s="115" t="s">
        <v>336</v>
      </c>
      <c r="R235" s="145">
        <v>32554</v>
      </c>
      <c r="S235" s="146">
        <v>45505</v>
      </c>
      <c r="T235" s="145">
        <v>22026</v>
      </c>
      <c r="U235" s="145"/>
      <c r="V235" s="116">
        <v>30382</v>
      </c>
      <c r="W235" s="116">
        <v>32041</v>
      </c>
      <c r="X235" s="116"/>
      <c r="Y235" s="116"/>
      <c r="Z235" s="52"/>
      <c r="AA235" s="52"/>
      <c r="AB235" s="52"/>
      <c r="AC235" s="117"/>
      <c r="AD235" s="118" t="s">
        <v>1032</v>
      </c>
      <c r="AE235" s="119" t="s">
        <v>36</v>
      </c>
      <c r="AF235" s="135" t="s">
        <v>37</v>
      </c>
      <c r="AH235" s="118">
        <v>1</v>
      </c>
      <c r="AI235" s="118">
        <v>1</v>
      </c>
      <c r="AJ235" s="118"/>
      <c r="AL235" s="118"/>
      <c r="AM235" s="118">
        <v>12</v>
      </c>
      <c r="AN235" s="118">
        <v>30</v>
      </c>
    </row>
    <row r="236" spans="1:40" s="93" customFormat="1" ht="50.1" customHeight="1" x14ac:dyDescent="0.25">
      <c r="A236" s="110">
        <v>5</v>
      </c>
      <c r="B236" s="139"/>
      <c r="C236" s="140" t="s">
        <v>300</v>
      </c>
      <c r="D236" s="140" t="s">
        <v>2935</v>
      </c>
      <c r="E236" s="141" t="s">
        <v>2936</v>
      </c>
      <c r="F236" s="142" t="str">
        <f t="shared" si="47"/>
        <v>18 años 1 meses 11 días</v>
      </c>
      <c r="G236" s="143">
        <v>1</v>
      </c>
      <c r="H236" s="110" t="str">
        <f t="shared" si="48"/>
        <v>74 años 9 meses 28 días</v>
      </c>
      <c r="I236" s="110"/>
      <c r="J236" s="195"/>
      <c r="K236" s="196"/>
      <c r="L236" s="197"/>
      <c r="M236" s="144">
        <v>6297.09</v>
      </c>
      <c r="N236" s="115">
        <v>10000</v>
      </c>
      <c r="O236" s="134" t="s">
        <v>2602</v>
      </c>
      <c r="P236" s="134" t="s">
        <v>33</v>
      </c>
      <c r="Q236" s="115" t="s">
        <v>1951</v>
      </c>
      <c r="R236" s="145">
        <v>38889</v>
      </c>
      <c r="S236" s="146">
        <v>45505</v>
      </c>
      <c r="T236" s="145">
        <v>18175</v>
      </c>
      <c r="U236" s="145"/>
      <c r="V236" s="116"/>
      <c r="W236" s="116"/>
      <c r="X236" s="116"/>
      <c r="Y236" s="116"/>
      <c r="Z236" s="52"/>
      <c r="AA236" s="52"/>
      <c r="AB236" s="52"/>
      <c r="AC236" s="117"/>
      <c r="AD236" s="118" t="s">
        <v>134</v>
      </c>
      <c r="AE236" s="119" t="s">
        <v>36</v>
      </c>
      <c r="AF236" s="135" t="s">
        <v>37</v>
      </c>
      <c r="AH236" s="118"/>
      <c r="AI236" s="118"/>
      <c r="AJ236" s="118"/>
      <c r="AL236" s="118"/>
      <c r="AM236" s="118"/>
      <c r="AN236" s="118"/>
    </row>
    <row r="237" spans="1:40" s="93" customFormat="1" ht="50.1" customHeight="1" x14ac:dyDescent="0.25">
      <c r="A237" s="110">
        <v>6</v>
      </c>
      <c r="B237" s="139"/>
      <c r="C237" s="140" t="s">
        <v>300</v>
      </c>
      <c r="D237" s="140" t="s">
        <v>2937</v>
      </c>
      <c r="E237" s="141" t="s">
        <v>2938</v>
      </c>
      <c r="F237" s="142" t="str">
        <f t="shared" si="47"/>
        <v>44 años 6 meses 0 días</v>
      </c>
      <c r="G237" s="143">
        <v>1</v>
      </c>
      <c r="H237" s="110" t="str">
        <f t="shared" si="48"/>
        <v>70 años 9 meses 13 días</v>
      </c>
      <c r="I237" s="110"/>
      <c r="J237" s="195"/>
      <c r="K237" s="196"/>
      <c r="L237" s="197"/>
      <c r="M237" s="144">
        <v>15000</v>
      </c>
      <c r="N237" s="115">
        <f>M237*G237</f>
        <v>15000</v>
      </c>
      <c r="O237" s="134" t="s">
        <v>2509</v>
      </c>
      <c r="P237" s="134" t="s">
        <v>33</v>
      </c>
      <c r="Q237" s="115" t="s">
        <v>1951</v>
      </c>
      <c r="R237" s="145">
        <v>29252</v>
      </c>
      <c r="S237" s="146">
        <v>45505</v>
      </c>
      <c r="T237" s="145">
        <v>19651</v>
      </c>
      <c r="U237" s="145"/>
      <c r="V237" s="116"/>
      <c r="W237" s="116"/>
      <c r="X237" s="116"/>
      <c r="Y237" s="116"/>
      <c r="Z237" s="52"/>
      <c r="AA237" s="52"/>
      <c r="AB237" s="52"/>
      <c r="AC237" s="117"/>
      <c r="AD237" s="118" t="s">
        <v>35</v>
      </c>
      <c r="AE237" s="119" t="s">
        <v>36</v>
      </c>
      <c r="AF237" s="135" t="s">
        <v>37</v>
      </c>
      <c r="AH237" s="118"/>
      <c r="AI237" s="118"/>
      <c r="AJ237" s="118"/>
      <c r="AL237" s="118"/>
      <c r="AM237" s="118"/>
      <c r="AN237" s="118"/>
    </row>
    <row r="238" spans="1:40" s="93" customFormat="1" ht="50.1" customHeight="1" x14ac:dyDescent="0.25">
      <c r="A238" s="110">
        <v>7</v>
      </c>
      <c r="B238" s="139"/>
      <c r="C238" s="140" t="s">
        <v>230</v>
      </c>
      <c r="D238" s="140" t="s">
        <v>2939</v>
      </c>
      <c r="E238" s="141" t="s">
        <v>2940</v>
      </c>
      <c r="F238" s="142" t="str">
        <f t="shared" si="47"/>
        <v>24 años 2 meses 20 días</v>
      </c>
      <c r="G238" s="143">
        <v>0.7</v>
      </c>
      <c r="H238" s="110" t="str">
        <f t="shared" si="48"/>
        <v>79 años 1 meses 7 días</v>
      </c>
      <c r="I238" s="110"/>
      <c r="J238" s="195"/>
      <c r="K238" s="196"/>
      <c r="L238" s="197"/>
      <c r="M238" s="144">
        <v>9073.86</v>
      </c>
      <c r="N238" s="115">
        <v>10000</v>
      </c>
      <c r="O238" s="134" t="s">
        <v>143</v>
      </c>
      <c r="P238" s="134" t="s">
        <v>298</v>
      </c>
      <c r="Q238" s="115" t="s">
        <v>338</v>
      </c>
      <c r="R238" s="145">
        <v>36405</v>
      </c>
      <c r="S238" s="146">
        <v>45252</v>
      </c>
      <c r="T238" s="145">
        <v>16360</v>
      </c>
      <c r="U238" s="145"/>
      <c r="V238" s="116"/>
      <c r="W238" s="116"/>
      <c r="X238" s="116"/>
      <c r="Y238" s="116"/>
      <c r="Z238" s="52"/>
      <c r="AA238" s="52"/>
      <c r="AB238" s="52"/>
      <c r="AC238" s="117"/>
      <c r="AD238" s="118" t="s">
        <v>2941</v>
      </c>
      <c r="AE238" s="119" t="s">
        <v>36</v>
      </c>
      <c r="AF238" s="135" t="s">
        <v>37</v>
      </c>
      <c r="AH238" s="118"/>
      <c r="AI238" s="118"/>
      <c r="AJ238" s="118"/>
      <c r="AL238" s="118"/>
      <c r="AM238" s="118"/>
      <c r="AN238" s="118"/>
    </row>
    <row r="239" spans="1:40" s="93" customFormat="1" ht="50.1" customHeight="1" x14ac:dyDescent="0.25">
      <c r="A239" s="110">
        <v>8</v>
      </c>
      <c r="B239" s="139"/>
      <c r="C239" s="140" t="s">
        <v>230</v>
      </c>
      <c r="D239" s="140" t="s">
        <v>2942</v>
      </c>
      <c r="E239" s="141" t="s">
        <v>2943</v>
      </c>
      <c r="F239" s="142" t="str">
        <f t="shared" si="47"/>
        <v>27 años 11 meses 15 días</v>
      </c>
      <c r="G239" s="143">
        <v>0.8</v>
      </c>
      <c r="H239" s="110" t="str">
        <f t="shared" si="48"/>
        <v>56 años 3 meses 28 días</v>
      </c>
      <c r="I239" s="110"/>
      <c r="J239" s="195"/>
      <c r="K239" s="196"/>
      <c r="L239" s="197"/>
      <c r="M239" s="144">
        <v>12400</v>
      </c>
      <c r="N239" s="115">
        <v>10000</v>
      </c>
      <c r="O239" s="134" t="s">
        <v>2412</v>
      </c>
      <c r="P239" s="134" t="s">
        <v>33</v>
      </c>
      <c r="Q239" s="115" t="s">
        <v>338</v>
      </c>
      <c r="R239" s="145">
        <v>36194</v>
      </c>
      <c r="S239" s="146">
        <v>45334</v>
      </c>
      <c r="T239" s="145">
        <v>24760</v>
      </c>
      <c r="U239" s="145"/>
      <c r="V239" s="116">
        <v>33659</v>
      </c>
      <c r="W239" s="116">
        <v>34730</v>
      </c>
      <c r="X239" s="116"/>
      <c r="Y239" s="116"/>
      <c r="Z239" s="52"/>
      <c r="AA239" s="52"/>
      <c r="AB239" s="52"/>
      <c r="AC239" s="117"/>
      <c r="AD239" s="118" t="s">
        <v>2941</v>
      </c>
      <c r="AE239" s="119" t="s">
        <v>36</v>
      </c>
      <c r="AF239" s="135" t="s">
        <v>37</v>
      </c>
      <c r="AH239" s="118"/>
      <c r="AI239" s="118"/>
      <c r="AJ239" s="118"/>
      <c r="AL239" s="118"/>
      <c r="AM239" s="118"/>
      <c r="AN239" s="118"/>
    </row>
    <row r="240" spans="1:40" ht="50.1" hidden="1" customHeight="1" x14ac:dyDescent="0.25"/>
    <row r="241" spans="1:40" s="91" customFormat="1" ht="50.1" hidden="1" customHeight="1" x14ac:dyDescent="0.25">
      <c r="A241" s="198" t="s">
        <v>1956</v>
      </c>
      <c r="B241" s="199"/>
      <c r="C241" s="199"/>
      <c r="D241" s="199"/>
      <c r="E241" s="199"/>
      <c r="F241" s="199"/>
      <c r="G241" s="199"/>
      <c r="H241" s="199"/>
      <c r="I241" s="199"/>
      <c r="J241" s="199"/>
      <c r="K241" s="199"/>
      <c r="L241" s="199"/>
      <c r="M241" s="199"/>
      <c r="N241" s="199"/>
      <c r="O241" s="199"/>
      <c r="P241" s="199"/>
      <c r="Q241" s="199"/>
      <c r="R241" s="200"/>
      <c r="S241" s="90"/>
      <c r="T241" s="90"/>
      <c r="Z241" s="52"/>
      <c r="AA241" s="52"/>
      <c r="AB241" s="52"/>
      <c r="AD241" s="92"/>
      <c r="AG241" s="93"/>
      <c r="AH241" s="187" t="s">
        <v>2</v>
      </c>
      <c r="AI241" s="188"/>
      <c r="AJ241" s="189"/>
      <c r="AL241" s="187" t="s">
        <v>3</v>
      </c>
      <c r="AM241" s="188"/>
      <c r="AN241" s="189"/>
    </row>
    <row r="242" spans="1:40" s="104" customFormat="1" ht="50.1" hidden="1" customHeight="1" x14ac:dyDescent="0.25">
      <c r="A242" s="94" t="s">
        <v>4</v>
      </c>
      <c r="B242" s="94" t="s">
        <v>5</v>
      </c>
      <c r="C242" s="95" t="s">
        <v>6</v>
      </c>
      <c r="D242" s="95" t="s">
        <v>7</v>
      </c>
      <c r="E242" s="94" t="s">
        <v>8</v>
      </c>
      <c r="F242" s="96" t="s">
        <v>9</v>
      </c>
      <c r="G242" s="96" t="s">
        <v>10</v>
      </c>
      <c r="H242" s="95" t="s">
        <v>11</v>
      </c>
      <c r="I242" s="97" t="s">
        <v>12</v>
      </c>
      <c r="J242" s="182" t="s">
        <v>13</v>
      </c>
      <c r="K242" s="183"/>
      <c r="L242" s="98" t="s">
        <v>14</v>
      </c>
      <c r="M242" s="99" t="s">
        <v>15</v>
      </c>
      <c r="N242" s="99" t="s">
        <v>16</v>
      </c>
      <c r="O242" s="99" t="s">
        <v>17</v>
      </c>
      <c r="P242" s="99" t="s">
        <v>18</v>
      </c>
      <c r="Q242" s="99" t="s">
        <v>335</v>
      </c>
      <c r="R242" s="99" t="s">
        <v>1950</v>
      </c>
      <c r="S242" s="100" t="s">
        <v>19</v>
      </c>
      <c r="T242" s="100" t="s">
        <v>20</v>
      </c>
      <c r="U242" s="101" t="s">
        <v>21</v>
      </c>
      <c r="V242" s="95" t="s">
        <v>13</v>
      </c>
      <c r="W242" s="100" t="s">
        <v>19</v>
      </c>
      <c r="X242" s="100" t="s">
        <v>20</v>
      </c>
      <c r="Y242" s="100" t="s">
        <v>19</v>
      </c>
      <c r="Z242" s="100" t="s">
        <v>20</v>
      </c>
      <c r="AA242" s="52"/>
      <c r="AB242" s="52"/>
      <c r="AC242" s="102"/>
      <c r="AD242" s="100" t="s">
        <v>22</v>
      </c>
      <c r="AE242" s="100" t="s">
        <v>23</v>
      </c>
      <c r="AF242" s="100" t="s">
        <v>24</v>
      </c>
      <c r="AG242" s="93"/>
      <c r="AH242" s="103" t="s">
        <v>25</v>
      </c>
      <c r="AI242" s="103" t="s">
        <v>26</v>
      </c>
      <c r="AJ242" s="103" t="s">
        <v>27</v>
      </c>
      <c r="AK242" s="93"/>
      <c r="AL242" s="103" t="s">
        <v>25</v>
      </c>
      <c r="AM242" s="103" t="s">
        <v>26</v>
      </c>
      <c r="AN242" s="103" t="s">
        <v>28</v>
      </c>
    </row>
    <row r="243" spans="1:40" s="93" customFormat="1" ht="8.25" hidden="1" customHeight="1" x14ac:dyDescent="0.25">
      <c r="A243" s="110"/>
      <c r="B243" s="110"/>
      <c r="C243" s="131"/>
      <c r="D243" s="131"/>
      <c r="E243" s="132"/>
      <c r="F243" s="110"/>
      <c r="G243" s="133"/>
      <c r="H243" s="110"/>
      <c r="I243" s="110"/>
      <c r="J243" s="190"/>
      <c r="K243" s="190"/>
      <c r="L243" s="110"/>
      <c r="M243" s="115"/>
      <c r="N243" s="115"/>
      <c r="O243" s="134"/>
      <c r="P243" s="115"/>
      <c r="Q243" s="115"/>
      <c r="R243" s="115"/>
      <c r="S243" s="116"/>
      <c r="T243" s="116"/>
      <c r="U243" s="116"/>
      <c r="V243" s="116"/>
      <c r="W243" s="116"/>
      <c r="X243" s="116"/>
      <c r="Y243" s="116"/>
      <c r="Z243" s="116"/>
      <c r="AA243" s="52"/>
      <c r="AB243" s="52"/>
      <c r="AC243" s="117"/>
      <c r="AD243" s="118"/>
      <c r="AE243" s="119"/>
      <c r="AF243" s="135"/>
      <c r="AH243" s="118"/>
      <c r="AI243" s="118"/>
      <c r="AJ243" s="118"/>
      <c r="AL243" s="118"/>
      <c r="AM243" s="118"/>
      <c r="AN243" s="118"/>
    </row>
    <row r="244" spans="1:40" s="5" customFormat="1" ht="12.75" x14ac:dyDescent="0.2">
      <c r="A244" s="33"/>
      <c r="B244" s="34"/>
      <c r="C244" s="35"/>
      <c r="D244" s="36"/>
      <c r="E244" s="36"/>
      <c r="F244" s="37"/>
      <c r="G244" s="38"/>
      <c r="H244" s="38"/>
      <c r="I244" s="39"/>
      <c r="J244" s="40"/>
      <c r="K244" s="4"/>
      <c r="L244" s="4"/>
      <c r="M244" s="4"/>
      <c r="N244" s="4"/>
    </row>
    <row r="245" spans="1:40" s="5" customFormat="1" ht="12.75" x14ac:dyDescent="0.2">
      <c r="A245" s="33"/>
      <c r="B245" s="34"/>
      <c r="C245" s="35"/>
      <c r="D245" s="36"/>
      <c r="E245" s="36"/>
      <c r="F245" s="37"/>
      <c r="G245" s="38"/>
      <c r="H245" s="38"/>
      <c r="I245" s="39"/>
      <c r="J245" s="40"/>
      <c r="K245" s="4"/>
      <c r="L245" s="4"/>
      <c r="M245" s="4"/>
      <c r="N245" s="4"/>
      <c r="V245" s="1"/>
    </row>
    <row r="246" spans="1:40" s="5" customFormat="1" ht="12.75" x14ac:dyDescent="0.2">
      <c r="A246" s="33"/>
      <c r="B246" s="34"/>
      <c r="C246" s="35"/>
      <c r="D246" s="36"/>
      <c r="E246" s="36"/>
      <c r="F246" s="37"/>
      <c r="G246" s="38"/>
      <c r="H246" s="38"/>
      <c r="I246" s="39"/>
      <c r="J246" s="40"/>
      <c r="K246" s="4"/>
      <c r="L246" s="4"/>
      <c r="M246" s="4"/>
      <c r="N246" s="4"/>
      <c r="W246" s="41"/>
    </row>
    <row r="247" spans="1:40" s="5" customFormat="1" ht="12.75" x14ac:dyDescent="0.2">
      <c r="A247" s="33"/>
      <c r="B247" s="34"/>
      <c r="C247" s="35"/>
      <c r="D247" s="36"/>
      <c r="E247" s="36"/>
      <c r="F247" s="37"/>
      <c r="G247" s="38"/>
      <c r="H247" s="38"/>
      <c r="I247" s="39"/>
      <c r="J247" s="40"/>
      <c r="K247" s="4"/>
      <c r="L247" s="4"/>
      <c r="M247" s="4"/>
      <c r="N247" s="4"/>
    </row>
    <row r="248" spans="1:40" s="5" customFormat="1" ht="12.75" x14ac:dyDescent="0.2">
      <c r="A248" s="33"/>
      <c r="B248" s="34"/>
      <c r="C248" s="35"/>
      <c r="D248" s="36"/>
      <c r="E248" s="36"/>
      <c r="F248" s="37"/>
      <c r="G248" s="38"/>
      <c r="H248" s="38"/>
      <c r="I248" s="39"/>
      <c r="J248" s="40"/>
      <c r="K248" s="4"/>
      <c r="L248" s="4"/>
      <c r="M248" s="4"/>
      <c r="N248" s="4"/>
    </row>
    <row r="249" spans="1:40" s="5" customFormat="1" ht="12.75" x14ac:dyDescent="0.2">
      <c r="A249" s="174" t="s">
        <v>330</v>
      </c>
      <c r="B249" s="174"/>
      <c r="C249" s="174"/>
      <c r="D249" s="174"/>
      <c r="E249" s="174"/>
      <c r="F249" s="174"/>
      <c r="G249" s="174"/>
      <c r="H249" s="174"/>
      <c r="I249" s="174"/>
      <c r="J249" s="174"/>
      <c r="K249" s="174"/>
      <c r="L249" s="174"/>
      <c r="M249" s="174"/>
      <c r="N249" s="174"/>
      <c r="O249" s="174"/>
      <c r="P249" s="174"/>
      <c r="Q249" s="174"/>
    </row>
    <row r="250" spans="1:40" s="5" customFormat="1" ht="12.75" x14ac:dyDescent="0.2">
      <c r="A250" s="175" t="s">
        <v>331</v>
      </c>
      <c r="B250" s="175"/>
      <c r="C250" s="175"/>
      <c r="D250" s="175"/>
      <c r="E250" s="175"/>
      <c r="F250" s="175"/>
      <c r="G250" s="175"/>
      <c r="H250" s="175"/>
      <c r="I250" s="175"/>
      <c r="J250" s="175"/>
      <c r="K250" s="175"/>
      <c r="L250" s="175"/>
      <c r="M250" s="175"/>
      <c r="N250" s="175"/>
      <c r="O250" s="175"/>
      <c r="P250" s="175"/>
      <c r="Q250" s="175"/>
    </row>
    <row r="251" spans="1:40" s="5" customFormat="1" ht="12.75" x14ac:dyDescent="0.2">
      <c r="A251" s="175" t="s">
        <v>332</v>
      </c>
      <c r="B251" s="175"/>
      <c r="C251" s="175"/>
      <c r="D251" s="175"/>
      <c r="E251" s="175"/>
      <c r="F251" s="175"/>
      <c r="G251" s="175"/>
      <c r="H251" s="175"/>
      <c r="I251" s="175"/>
      <c r="J251" s="175"/>
      <c r="K251" s="175"/>
      <c r="L251" s="175"/>
      <c r="M251" s="175"/>
      <c r="N251" s="175"/>
      <c r="O251" s="175"/>
      <c r="P251" s="175"/>
      <c r="Q251" s="175"/>
    </row>
    <row r="252" spans="1:40" s="5" customFormat="1" ht="12.75" x14ac:dyDescent="0.2">
      <c r="A252" s="42"/>
      <c r="B252" s="42"/>
      <c r="C252" s="42"/>
      <c r="D252" s="42"/>
      <c r="E252" s="42"/>
      <c r="F252" s="42"/>
      <c r="G252" s="43"/>
      <c r="H252" s="43"/>
      <c r="I252" s="44"/>
    </row>
    <row r="253" spans="1:40" ht="12.75" customHeight="1" x14ac:dyDescent="0.25">
      <c r="A253" s="45" t="s">
        <v>333</v>
      </c>
      <c r="B253" s="46"/>
      <c r="C253" s="46"/>
      <c r="D253" s="47"/>
      <c r="E253" s="48"/>
      <c r="F253" s="49"/>
      <c r="G253" s="50"/>
      <c r="H253" s="50"/>
      <c r="I253" s="51"/>
    </row>
    <row r="254" spans="1:40" ht="9.75" customHeight="1" x14ac:dyDescent="0.25">
      <c r="A254" s="53" t="s">
        <v>334</v>
      </c>
      <c r="B254" s="46"/>
      <c r="C254" s="46"/>
      <c r="D254" s="47"/>
      <c r="E254" s="48"/>
      <c r="F254" s="49"/>
      <c r="G254" s="50"/>
      <c r="H254" s="50"/>
      <c r="I254" s="51"/>
    </row>
    <row r="255" spans="1:40" ht="90" customHeight="1" x14ac:dyDescent="0.25"/>
    <row r="256" spans="1:40" ht="90" customHeight="1" x14ac:dyDescent="0.25"/>
    <row r="260" ht="90" customHeight="1" x14ac:dyDescent="0.25"/>
    <row r="261" ht="90" customHeight="1" x14ac:dyDescent="0.25"/>
    <row r="262" ht="90" customHeight="1" x14ac:dyDescent="0.25"/>
    <row r="263" ht="90" customHeight="1" x14ac:dyDescent="0.25"/>
    <row r="264" ht="90" customHeight="1" x14ac:dyDescent="0.25"/>
    <row r="266" ht="90" customHeight="1" x14ac:dyDescent="0.25"/>
    <row r="267" ht="90" customHeight="1" x14ac:dyDescent="0.25"/>
    <row r="268" ht="90" customHeight="1" x14ac:dyDescent="0.25"/>
    <row r="269" ht="90" customHeight="1" x14ac:dyDescent="0.25"/>
    <row r="271" ht="90" customHeight="1" x14ac:dyDescent="0.25"/>
    <row r="272" ht="90" customHeight="1" x14ac:dyDescent="0.25"/>
    <row r="274" ht="146.25" customHeight="1" x14ac:dyDescent="0.25"/>
    <row r="275" ht="165" customHeight="1" x14ac:dyDescent="0.25"/>
    <row r="276" ht="90" customHeight="1" x14ac:dyDescent="0.25"/>
    <row r="277" ht="90" customHeight="1" x14ac:dyDescent="0.25"/>
    <row r="278" ht="90" customHeight="1" x14ac:dyDescent="0.25"/>
    <row r="280" ht="90" customHeight="1" x14ac:dyDescent="0.25"/>
    <row r="281" ht="90" customHeight="1" x14ac:dyDescent="0.25"/>
    <row r="283" ht="90" customHeight="1" x14ac:dyDescent="0.25"/>
  </sheetData>
  <mergeCells count="242">
    <mergeCell ref="A249:Q249"/>
    <mergeCell ref="A250:Q250"/>
    <mergeCell ref="A251:Q251"/>
    <mergeCell ref="A241:R241"/>
    <mergeCell ref="AH241:AJ241"/>
    <mergeCell ref="AL241:AN241"/>
    <mergeCell ref="J242:K242"/>
    <mergeCell ref="J243:K243"/>
    <mergeCell ref="J238:L238"/>
    <mergeCell ref="J239:L239"/>
    <mergeCell ref="J232:L232"/>
    <mergeCell ref="J233:L233"/>
    <mergeCell ref="J234:L234"/>
    <mergeCell ref="J235:L235"/>
    <mergeCell ref="J236:L236"/>
    <mergeCell ref="AL230:AN230"/>
    <mergeCell ref="J231:K231"/>
    <mergeCell ref="A230:Q230"/>
    <mergeCell ref="AH230:AJ230"/>
    <mergeCell ref="J181:L181"/>
    <mergeCell ref="J182:L182"/>
    <mergeCell ref="J183:L183"/>
    <mergeCell ref="J184:L184"/>
    <mergeCell ref="J185:L185"/>
    <mergeCell ref="J186:L186"/>
    <mergeCell ref="J187:L187"/>
    <mergeCell ref="J188:L188"/>
    <mergeCell ref="J237:L237"/>
    <mergeCell ref="AL165:AN165"/>
    <mergeCell ref="J166:K166"/>
    <mergeCell ref="J176:L176"/>
    <mergeCell ref="J177:L177"/>
    <mergeCell ref="J178:L178"/>
    <mergeCell ref="J179:L179"/>
    <mergeCell ref="A165:Q165"/>
    <mergeCell ref="AH165:AJ165"/>
    <mergeCell ref="J180:L180"/>
    <mergeCell ref="J170:L170"/>
    <mergeCell ref="J171:L171"/>
    <mergeCell ref="J172:L172"/>
    <mergeCell ref="J173:L173"/>
    <mergeCell ref="J174:L174"/>
    <mergeCell ref="J175:L175"/>
    <mergeCell ref="J167:L167"/>
    <mergeCell ref="J168:L168"/>
    <mergeCell ref="J169:L169"/>
    <mergeCell ref="AH117:AJ117"/>
    <mergeCell ref="AL117:AN117"/>
    <mergeCell ref="J118:K118"/>
    <mergeCell ref="J150:L150"/>
    <mergeCell ref="J151:L151"/>
    <mergeCell ref="J152:L152"/>
    <mergeCell ref="J153:L153"/>
    <mergeCell ref="J154:L154"/>
    <mergeCell ref="J155:L155"/>
    <mergeCell ref="J140:L140"/>
    <mergeCell ref="J141:L141"/>
    <mergeCell ref="J142:L142"/>
    <mergeCell ref="J143:L143"/>
    <mergeCell ref="J144:L144"/>
    <mergeCell ref="J145:L145"/>
    <mergeCell ref="J134:L134"/>
    <mergeCell ref="J135:L135"/>
    <mergeCell ref="J136:L136"/>
    <mergeCell ref="J137:L137"/>
    <mergeCell ref="J138:L138"/>
    <mergeCell ref="J139:L139"/>
    <mergeCell ref="J128:L128"/>
    <mergeCell ref="J129:L129"/>
    <mergeCell ref="J130:L130"/>
    <mergeCell ref="J131:L131"/>
    <mergeCell ref="J132:L132"/>
    <mergeCell ref="J133:L133"/>
    <mergeCell ref="J122:L122"/>
    <mergeCell ref="J123:L123"/>
    <mergeCell ref="J124:L124"/>
    <mergeCell ref="J125:L125"/>
    <mergeCell ref="J126:L126"/>
    <mergeCell ref="J127:L127"/>
    <mergeCell ref="AH17:AJ17"/>
    <mergeCell ref="AL17:AN17"/>
    <mergeCell ref="J18:K18"/>
    <mergeCell ref="J19:L19"/>
    <mergeCell ref="J20:L20"/>
    <mergeCell ref="J21:L21"/>
    <mergeCell ref="J22:L22"/>
    <mergeCell ref="J23:L23"/>
    <mergeCell ref="J24:L24"/>
    <mergeCell ref="A9:Q9"/>
    <mergeCell ref="A10:Q10"/>
    <mergeCell ref="A11:Q11"/>
    <mergeCell ref="A12:Q12"/>
    <mergeCell ref="A13:Q13"/>
    <mergeCell ref="A15:Q15"/>
    <mergeCell ref="J119:L119"/>
    <mergeCell ref="J120:L120"/>
    <mergeCell ref="J121:L121"/>
    <mergeCell ref="A17:Q17"/>
    <mergeCell ref="J25:L25"/>
    <mergeCell ref="J26:L26"/>
    <mergeCell ref="J27:L27"/>
    <mergeCell ref="J28:L28"/>
    <mergeCell ref="J29:L29"/>
    <mergeCell ref="J30:L30"/>
    <mergeCell ref="A117:Q117"/>
    <mergeCell ref="J31:L31"/>
    <mergeCell ref="J32:L32"/>
    <mergeCell ref="J33:L33"/>
    <mergeCell ref="J34:L34"/>
    <mergeCell ref="J35:L35"/>
    <mergeCell ref="J36:L36"/>
    <mergeCell ref="J37:L37"/>
    <mergeCell ref="J38:L38"/>
    <mergeCell ref="J39:L39"/>
    <mergeCell ref="J40:L40"/>
    <mergeCell ref="J41:L41"/>
    <mergeCell ref="J42:L42"/>
    <mergeCell ref="J43:L43"/>
    <mergeCell ref="J44:L44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0:L60"/>
    <mergeCell ref="J61:L61"/>
    <mergeCell ref="J62:L62"/>
    <mergeCell ref="J63:L63"/>
    <mergeCell ref="J64:L64"/>
    <mergeCell ref="J65:L65"/>
    <mergeCell ref="J66:L66"/>
    <mergeCell ref="J67:L67"/>
    <mergeCell ref="J68:L68"/>
    <mergeCell ref="J69:L69"/>
    <mergeCell ref="J70:L70"/>
    <mergeCell ref="J71:L71"/>
    <mergeCell ref="J72:L72"/>
    <mergeCell ref="J73:L73"/>
    <mergeCell ref="J74:L74"/>
    <mergeCell ref="J75:L75"/>
    <mergeCell ref="J76:L76"/>
    <mergeCell ref="J77:L77"/>
    <mergeCell ref="J78:L78"/>
    <mergeCell ref="J79:L79"/>
    <mergeCell ref="J80:L80"/>
    <mergeCell ref="J81:L81"/>
    <mergeCell ref="J82:L82"/>
    <mergeCell ref="J83:L83"/>
    <mergeCell ref="J84:L84"/>
    <mergeCell ref="J85:L85"/>
    <mergeCell ref="J86:L86"/>
    <mergeCell ref="J87:L87"/>
    <mergeCell ref="J88:L88"/>
    <mergeCell ref="J89:L89"/>
    <mergeCell ref="J90:L90"/>
    <mergeCell ref="J91:L91"/>
    <mergeCell ref="J92:L92"/>
    <mergeCell ref="J93:L93"/>
    <mergeCell ref="J94:L94"/>
    <mergeCell ref="J95:L95"/>
    <mergeCell ref="J96:L96"/>
    <mergeCell ref="J97:L97"/>
    <mergeCell ref="J98:L98"/>
    <mergeCell ref="J99:L99"/>
    <mergeCell ref="J100:L100"/>
    <mergeCell ref="J101:L101"/>
    <mergeCell ref="J102:L102"/>
    <mergeCell ref="J112:L112"/>
    <mergeCell ref="J113:L113"/>
    <mergeCell ref="J114:L114"/>
    <mergeCell ref="J115:L115"/>
    <mergeCell ref="J103:L103"/>
    <mergeCell ref="J104:L104"/>
    <mergeCell ref="J105:L105"/>
    <mergeCell ref="J106:L106"/>
    <mergeCell ref="J107:L107"/>
    <mergeCell ref="J108:L108"/>
    <mergeCell ref="J109:L109"/>
    <mergeCell ref="J110:L110"/>
    <mergeCell ref="J111:L111"/>
    <mergeCell ref="J156:L156"/>
    <mergeCell ref="J157:L157"/>
    <mergeCell ref="J158:L158"/>
    <mergeCell ref="J159:L159"/>
    <mergeCell ref="J160:L160"/>
    <mergeCell ref="J161:L161"/>
    <mergeCell ref="J162:L162"/>
    <mergeCell ref="J163:L163"/>
    <mergeCell ref="J146:L146"/>
    <mergeCell ref="J147:L147"/>
    <mergeCell ref="J148:L148"/>
    <mergeCell ref="J149:L149"/>
    <mergeCell ref="J189:L189"/>
    <mergeCell ref="J190:L190"/>
    <mergeCell ref="J191:L191"/>
    <mergeCell ref="J192:L192"/>
    <mergeCell ref="J193:L193"/>
    <mergeCell ref="J194:L194"/>
    <mergeCell ref="J195:L195"/>
    <mergeCell ref="J196:L196"/>
    <mergeCell ref="J197:L197"/>
    <mergeCell ref="J198:L198"/>
    <mergeCell ref="J199:L199"/>
    <mergeCell ref="J200:L200"/>
    <mergeCell ref="J201:L201"/>
    <mergeCell ref="J202:L202"/>
    <mergeCell ref="J203:L203"/>
    <mergeCell ref="J204:L204"/>
    <mergeCell ref="J205:L205"/>
    <mergeCell ref="J206:L206"/>
    <mergeCell ref="J207:L207"/>
    <mergeCell ref="J208:L208"/>
    <mergeCell ref="J209:L209"/>
    <mergeCell ref="J210:L210"/>
    <mergeCell ref="J211:L211"/>
    <mergeCell ref="J212:L212"/>
    <mergeCell ref="J213:L213"/>
    <mergeCell ref="J214:L214"/>
    <mergeCell ref="J215:L215"/>
    <mergeCell ref="J225:L225"/>
    <mergeCell ref="J226:L226"/>
    <mergeCell ref="J227:L227"/>
    <mergeCell ref="J228:L228"/>
    <mergeCell ref="J216:L216"/>
    <mergeCell ref="J217:L217"/>
    <mergeCell ref="J218:L218"/>
    <mergeCell ref="J219:L219"/>
    <mergeCell ref="J220:L220"/>
    <mergeCell ref="J221:L221"/>
    <mergeCell ref="J222:L222"/>
    <mergeCell ref="J223:L223"/>
    <mergeCell ref="J224:L224"/>
  </mergeCells>
  <printOptions horizontalCentered="1"/>
  <pageMargins left="0.23622047244094491" right="0.23622047244094491" top="0.43307086614173229" bottom="0.43307086614173229" header="0.31496062992125984" footer="0.31496062992125984"/>
  <pageSetup scale="83" firstPageNumber="3" fitToHeight="0" orientation="portrait" r:id="rId1"/>
  <headerFooter>
    <oddFooter>&amp;L&amp;"Times New Roman,Normal"Relacion de pension agosto 2024&amp;R&amp;"Times New Roman,Normal"Página &amp;P de 13</oddFooter>
  </headerFooter>
  <rowBreaks count="1" manualBreakCount="1">
    <brk id="229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ENERO 2024</vt:lpstr>
      <vt:lpstr>FEBRERO 2024 (2)</vt:lpstr>
      <vt:lpstr>MARZO 2024</vt:lpstr>
      <vt:lpstr>ABRIL 2024</vt:lpstr>
      <vt:lpstr>MAYO 2024</vt:lpstr>
      <vt:lpstr>AGOSTO 2024</vt:lpstr>
      <vt:lpstr>'ABRIL 2024'!Área_de_impresión</vt:lpstr>
      <vt:lpstr>'AGOSTO 2024'!Área_de_impresión</vt:lpstr>
      <vt:lpstr>'ENERO 2024'!Área_de_impresión</vt:lpstr>
      <vt:lpstr>'FEBRERO 2024 (2)'!Área_de_impresión</vt:lpstr>
      <vt:lpstr>'MARZO 2024'!Área_de_impresión</vt:lpstr>
      <vt:lpstr>'MAYO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Jean Carlos Santiago Rasuk</cp:lastModifiedBy>
  <cp:lastPrinted>2024-08-13T17:07:39Z</cp:lastPrinted>
  <dcterms:created xsi:type="dcterms:W3CDTF">2024-01-18T19:05:02Z</dcterms:created>
  <dcterms:modified xsi:type="dcterms:W3CDTF">2024-08-14T13:40:30Z</dcterms:modified>
</cp:coreProperties>
</file>